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CAP Rate Studies\CAP RATE STUDY 2026\2026 CAP Rate Study - All Industries - Worksheets\publish to website\"/>
    </mc:Choice>
  </mc:AlternateContent>
  <xr:revisionPtr revIDLastSave="0" documentId="8_{EAC57CBF-5291-4091-8D86-F834DBA974F0}" xr6:coauthVersionLast="47" xr6:coauthVersionMax="47" xr10:uidLastSave="{00000000-0000-0000-0000-000000000000}"/>
  <bookViews>
    <workbookView xWindow="-24120" yWindow="-120" windowWidth="24240" windowHeight="13020" tabRatio="833" firstSheet="6" activeTab="13" xr2:uid="{00000000-000D-0000-FFFF-FFFF00000000}"/>
  </bookViews>
  <sheets>
    <sheet name="Cover Sheet" sheetId="6" r:id="rId1"/>
    <sheet name="Yield CapRate" sheetId="7" r:id="rId2"/>
    <sheet name="Direct CapRates" sheetId="10" r:id="rId3"/>
    <sheet name="S&amp;D" sheetId="3" r:id="rId4"/>
    <sheet name="Market to Book Ratios" sheetId="29" r:id="rId5"/>
    <sheet name="Maintenance CapEx" sheetId="11" r:id="rId6"/>
    <sheet name="Beta for CAPM" sheetId="14" r:id="rId7"/>
    <sheet name="Dividends " sheetId="17" r:id="rId8"/>
    <sheet name="Earnings" sheetId="27" r:id="rId9"/>
    <sheet name="Debt" sheetId="8" r:id="rId10"/>
    <sheet name="Direct GCF" sheetId="5" r:id="rId11"/>
    <sheet name="Direct NOPAT" sheetId="12" r:id="rId12"/>
    <sheet name="CAPM" sheetId="23" r:id="rId13"/>
    <sheet name="Growth &amp; Inflation Rates" sheetId="34" r:id="rId14"/>
    <sheet name="Indicated Yield Equity Rates" sheetId="16" r:id="rId15"/>
    <sheet name="Single Stage Div Growth Model" sheetId="19" r:id="rId16"/>
    <sheet name="Two-Stage Dividend Growth Model" sheetId="20" r:id="rId17"/>
    <sheet name="Multiples" sheetId="31" r:id="rId18"/>
    <sheet name="Info" sheetId="9" r:id="rId19"/>
  </sheets>
  <definedNames>
    <definedName name="_xlnm.Print_Area" localSheetId="6">'Beta for CAPM'!$A$1:$H$41</definedName>
    <definedName name="_xlnm.Print_Area" localSheetId="12">CAPM!$A$1:$H$85</definedName>
    <definedName name="_xlnm.Print_Area" localSheetId="0">'Cover Sheet'!$A$1:$I$37</definedName>
    <definedName name="_xlnm.Print_Area" localSheetId="9">Debt!$A$1:$M$63</definedName>
    <definedName name="_xlnm.Print_Area" localSheetId="2">'Direct CapRates'!$A$1:$H$66</definedName>
    <definedName name="_xlnm.Print_Area" localSheetId="10">'Direct GCF'!$A$1:$N$39</definedName>
    <definedName name="_xlnm.Print_Area" localSheetId="11">'Direct NOPAT'!$A$1:$N$68</definedName>
    <definedName name="_xlnm.Print_Area" localSheetId="7">'Dividends '!$A$1:$K$35</definedName>
    <definedName name="_xlnm.Print_Area" localSheetId="8">Earnings!$A$1:$K$35</definedName>
    <definedName name="_xlnm.Print_Area" localSheetId="13">'Growth &amp; Inflation Rates'!$A$1:$I$108</definedName>
    <definedName name="_xlnm.Print_Area" localSheetId="14">'Indicated Yield Equity Rates'!$A$1:$F$57</definedName>
    <definedName name="_xlnm.Print_Area" localSheetId="5">'Maintenance CapEx'!$A$1:$L$81</definedName>
    <definedName name="_xlnm.Print_Area" localSheetId="4">'Market to Book Ratios'!$A$1:$G$68</definedName>
    <definedName name="_xlnm.Print_Area" localSheetId="17">Multiples!$A$1:$I$42</definedName>
    <definedName name="_xlnm.Print_Area" localSheetId="3">'S&amp;D'!$A$1:$L$86</definedName>
    <definedName name="_xlnm.Print_Area" localSheetId="15">'Single Stage Div Growth Model'!$A$1:$K$49</definedName>
    <definedName name="_xlnm.Print_Area" localSheetId="16">'Two-Stage Dividend Growth Model'!$A$1:$I$47</definedName>
    <definedName name="_xlnm.Print_Area" localSheetId="1">'Yield CapRate'!$A$1:$H$35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9" i="34" l="1"/>
  <c r="F47" i="34"/>
  <c r="F46" i="34"/>
  <c r="F45" i="34"/>
  <c r="F44" i="34"/>
  <c r="F43" i="34"/>
  <c r="F42" i="34"/>
  <c r="F41" i="34"/>
  <c r="H26" i="27"/>
  <c r="H23" i="27"/>
  <c r="D24" i="27"/>
  <c r="H18" i="17"/>
  <c r="D30" i="11" l="1"/>
  <c r="G29" i="11"/>
  <c r="D29" i="11"/>
  <c r="D28" i="11"/>
  <c r="G24" i="11"/>
  <c r="G20" i="11"/>
  <c r="E30" i="11" l="1"/>
  <c r="E28" i="11"/>
  <c r="G52" i="3" l="1"/>
  <c r="J32" i="3"/>
  <c r="F52" i="3"/>
  <c r="G51" i="3"/>
  <c r="J31" i="3" l="1"/>
  <c r="G50" i="3"/>
  <c r="J30" i="3" l="1"/>
  <c r="G49" i="3"/>
  <c r="J29" i="3" l="1"/>
  <c r="G48" i="3"/>
  <c r="F48" i="3"/>
  <c r="F47" i="3"/>
  <c r="J28" i="3"/>
  <c r="G47" i="3"/>
  <c r="J27" i="3"/>
  <c r="G46" i="3"/>
  <c r="F46" i="3"/>
  <c r="J26" i="3" l="1"/>
  <c r="G45" i="3"/>
  <c r="F45" i="3"/>
  <c r="J25" i="3"/>
  <c r="G44" i="3"/>
  <c r="J24" i="3"/>
  <c r="G43" i="3"/>
  <c r="J23" i="3"/>
  <c r="H23" i="3"/>
  <c r="G42" i="3"/>
  <c r="J22" i="3"/>
  <c r="D58" i="10" l="1"/>
  <c r="D25" i="10"/>
  <c r="F21" i="20" l="1"/>
  <c r="A7" i="34" l="1"/>
  <c r="A15" i="34" s="1"/>
  <c r="E51" i="12"/>
  <c r="E52" i="12"/>
  <c r="E53" i="12"/>
  <c r="E54" i="12"/>
  <c r="E55" i="12"/>
  <c r="E56" i="12"/>
  <c r="E57" i="12"/>
  <c r="E58" i="12"/>
  <c r="E59" i="12"/>
  <c r="E60" i="12"/>
  <c r="K17" i="12"/>
  <c r="K18" i="12"/>
  <c r="K19" i="12"/>
  <c r="K20" i="12"/>
  <c r="K21" i="12"/>
  <c r="K22" i="12"/>
  <c r="K23" i="12"/>
  <c r="K24" i="12"/>
  <c r="K25" i="12"/>
  <c r="K26" i="12"/>
  <c r="E17" i="12"/>
  <c r="E18" i="12"/>
  <c r="E19" i="12"/>
  <c r="E20" i="12"/>
  <c r="E21" i="12"/>
  <c r="E22" i="12"/>
  <c r="E23" i="12"/>
  <c r="E24" i="12"/>
  <c r="E25" i="12"/>
  <c r="E26" i="12"/>
  <c r="E50" i="12"/>
  <c r="K16" i="12"/>
  <c r="E16" i="12"/>
  <c r="J16" i="8"/>
  <c r="J17" i="8"/>
  <c r="J18" i="8"/>
  <c r="J20" i="8"/>
  <c r="J21" i="8"/>
  <c r="J22" i="8"/>
  <c r="J23" i="8"/>
  <c r="J24" i="8"/>
  <c r="J25" i="8"/>
  <c r="J15" i="8"/>
  <c r="C30" i="11"/>
  <c r="C29" i="11"/>
  <c r="C28" i="11"/>
  <c r="C27" i="11"/>
  <c r="C26" i="11"/>
  <c r="C25" i="11"/>
  <c r="C24" i="11"/>
  <c r="C23" i="11"/>
  <c r="C22" i="11"/>
  <c r="C21" i="11"/>
  <c r="C20" i="11"/>
  <c r="C59" i="23"/>
  <c r="C58" i="23"/>
  <c r="C57" i="23"/>
  <c r="C55" i="23"/>
  <c r="C54" i="23"/>
  <c r="C52" i="23"/>
  <c r="C50" i="23"/>
  <c r="C48" i="23"/>
  <c r="C47" i="23"/>
  <c r="C46" i="23"/>
  <c r="C45" i="23"/>
  <c r="C43" i="23"/>
  <c r="C42" i="23"/>
  <c r="C33" i="23"/>
  <c r="C32" i="23"/>
  <c r="C31" i="23"/>
  <c r="C29" i="23"/>
  <c r="C28" i="23"/>
  <c r="C26" i="23"/>
  <c r="C24" i="23"/>
  <c r="C22" i="23"/>
  <c r="C21" i="23"/>
  <c r="C20" i="23"/>
  <c r="C19" i="23"/>
  <c r="C17" i="23"/>
  <c r="C16" i="23"/>
  <c r="E33" i="23"/>
  <c r="E32" i="23"/>
  <c r="E31" i="23"/>
  <c r="E29" i="23"/>
  <c r="E28" i="23"/>
  <c r="E26" i="23"/>
  <c r="E24" i="23"/>
  <c r="E22" i="23"/>
  <c r="E21" i="23"/>
  <c r="E20" i="23"/>
  <c r="E19" i="23"/>
  <c r="E17" i="23"/>
  <c r="E16" i="23"/>
  <c r="E53" i="34"/>
  <c r="D53" i="34"/>
  <c r="F53" i="34" s="1"/>
  <c r="E52" i="34"/>
  <c r="D52" i="34"/>
  <c r="F52" i="34" s="1"/>
  <c r="E51" i="34"/>
  <c r="D51" i="34"/>
  <c r="E50" i="34"/>
  <c r="D50" i="34"/>
  <c r="F51" i="34"/>
  <c r="F50" i="34"/>
  <c r="G30" i="19" l="1"/>
  <c r="F23" i="11" l="1"/>
  <c r="D49" i="29" l="1"/>
  <c r="D50" i="29"/>
  <c r="D42" i="3" l="1"/>
  <c r="G29" i="31"/>
  <c r="G28" i="31"/>
  <c r="E29" i="31"/>
  <c r="E28" i="31"/>
  <c r="H29" i="19"/>
  <c r="G29" i="19"/>
  <c r="H28" i="19"/>
  <c r="G28" i="19"/>
  <c r="E63" i="12"/>
  <c r="E62" i="12"/>
  <c r="K29" i="12"/>
  <c r="K28" i="12"/>
  <c r="E29" i="12"/>
  <c r="E28" i="12"/>
  <c r="J30" i="5"/>
  <c r="J29" i="5"/>
  <c r="D30" i="5"/>
  <c r="D29" i="5"/>
  <c r="J28" i="8" l="1"/>
  <c r="I28" i="8"/>
  <c r="G28" i="8"/>
  <c r="J27" i="8"/>
  <c r="I27" i="8"/>
  <c r="G27" i="8"/>
  <c r="I29" i="27"/>
  <c r="G29" i="27"/>
  <c r="I28" i="27"/>
  <c r="G28" i="27"/>
  <c r="E29" i="27"/>
  <c r="E28" i="27"/>
  <c r="I29" i="17" l="1"/>
  <c r="G29" i="17"/>
  <c r="I28" i="17"/>
  <c r="G28" i="17"/>
  <c r="E29" i="17"/>
  <c r="E28" i="17"/>
  <c r="H30" i="14"/>
  <c r="H29" i="14"/>
  <c r="F46" i="23" l="1"/>
  <c r="B46" i="23"/>
  <c r="E46" i="23" s="1"/>
  <c r="A46" i="23"/>
  <c r="F58" i="23"/>
  <c r="B58" i="23"/>
  <c r="E58" i="23" s="1"/>
  <c r="F48" i="23"/>
  <c r="B48" i="23"/>
  <c r="E48" i="23" s="1"/>
  <c r="F47" i="23"/>
  <c r="B47" i="23"/>
  <c r="E47" i="23" s="1"/>
  <c r="A6" i="31"/>
  <c r="A6" i="20"/>
  <c r="A6" i="19"/>
  <c r="A6" i="23"/>
  <c r="A6" i="16"/>
  <c r="A6" i="12"/>
  <c r="A6" i="5"/>
  <c r="A6" i="8"/>
  <c r="A6" i="27"/>
  <c r="A6" i="17"/>
  <c r="A8" i="14"/>
  <c r="A8" i="11"/>
  <c r="A9" i="29"/>
  <c r="D15" i="10"/>
  <c r="D16" i="7"/>
  <c r="A16" i="6"/>
  <c r="F59" i="23"/>
  <c r="B59" i="23"/>
  <c r="E59" i="23" s="1"/>
  <c r="F57" i="23"/>
  <c r="B57" i="23"/>
  <c r="E57" i="23" s="1"/>
  <c r="F55" i="23"/>
  <c r="B55" i="23"/>
  <c r="E55" i="23" s="1"/>
  <c r="F54" i="23"/>
  <c r="B54" i="23"/>
  <c r="E54" i="23" s="1"/>
  <c r="F52" i="23"/>
  <c r="B52" i="23"/>
  <c r="E52" i="23" s="1"/>
  <c r="F50" i="23"/>
  <c r="B50" i="23"/>
  <c r="E50" i="23" s="1"/>
  <c r="F45" i="23"/>
  <c r="B45" i="23"/>
  <c r="E45" i="23" s="1"/>
  <c r="F43" i="23"/>
  <c r="B43" i="23"/>
  <c r="E43" i="23" s="1"/>
  <c r="F42" i="23"/>
  <c r="B42" i="23"/>
  <c r="E42" i="23" s="1"/>
  <c r="D55" i="23" l="1"/>
  <c r="G55" i="23" s="1"/>
  <c r="D36" i="16" s="1"/>
  <c r="D43" i="23"/>
  <c r="G43" i="23" s="1"/>
  <c r="D28" i="16" s="1"/>
  <c r="D42" i="23"/>
  <c r="G42" i="23" s="1"/>
  <c r="D27" i="16" s="1"/>
  <c r="D59" i="23"/>
  <c r="G59" i="23" s="1"/>
  <c r="D39" i="16" s="1"/>
  <c r="D29" i="23"/>
  <c r="F29" i="23" s="1"/>
  <c r="D16" i="23"/>
  <c r="F16" i="23" s="1"/>
  <c r="D54" i="23" l="1"/>
  <c r="G54" i="23" s="1"/>
  <c r="D35" i="16" s="1"/>
  <c r="D46" i="23"/>
  <c r="G46" i="23" s="1"/>
  <c r="D30" i="16" s="1"/>
  <c r="D20" i="23"/>
  <c r="F20" i="23" s="1"/>
  <c r="D17" i="16" s="1"/>
  <c r="D17" i="23"/>
  <c r="F17" i="23" s="1"/>
  <c r="D48" i="23"/>
  <c r="G48" i="23" s="1"/>
  <c r="D32" i="16" s="1"/>
  <c r="D22" i="23"/>
  <c r="F22" i="23" s="1"/>
  <c r="D19" i="16" s="1"/>
  <c r="D21" i="23"/>
  <c r="F21" i="23" s="1"/>
  <c r="D18" i="16" s="1"/>
  <c r="D47" i="23"/>
  <c r="G47" i="23" s="1"/>
  <c r="D31" i="16" s="1"/>
  <c r="D58" i="23"/>
  <c r="G58" i="23" s="1"/>
  <c r="D38" i="16" s="1"/>
  <c r="D32" i="23"/>
  <c r="F32" i="23" s="1"/>
  <c r="D25" i="16" s="1"/>
  <c r="D28" i="23"/>
  <c r="F28" i="23" s="1"/>
  <c r="D24" i="23"/>
  <c r="F24" i="23" s="1"/>
  <c r="D50" i="23"/>
  <c r="G50" i="23" s="1"/>
  <c r="D33" i="16" s="1"/>
  <c r="D26" i="23"/>
  <c r="F26" i="23" s="1"/>
  <c r="D52" i="23"/>
  <c r="G52" i="23" s="1"/>
  <c r="D34" i="16" s="1"/>
  <c r="D45" i="23"/>
  <c r="G45" i="23" s="1"/>
  <c r="D29" i="16" s="1"/>
  <c r="D19" i="23"/>
  <c r="F19" i="23" s="1"/>
  <c r="D33" i="23"/>
  <c r="F33" i="23" s="1"/>
  <c r="D26" i="16" s="1"/>
  <c r="D31" i="23"/>
  <c r="F31" i="23" s="1"/>
  <c r="D24" i="16" s="1"/>
  <c r="D57" i="23"/>
  <c r="G57" i="23" s="1"/>
  <c r="D37" i="16" s="1"/>
  <c r="A50" i="3" l="1"/>
  <c r="D15" i="16" l="1"/>
  <c r="B27" i="5"/>
  <c r="H27" i="5" s="1"/>
  <c r="A27" i="5"/>
  <c r="B26" i="5"/>
  <c r="H26" i="5" s="1"/>
  <c r="A26" i="5"/>
  <c r="B25" i="5"/>
  <c r="H25" i="5" s="1"/>
  <c r="A25" i="5"/>
  <c r="B24" i="5"/>
  <c r="H24" i="5" s="1"/>
  <c r="A24" i="5"/>
  <c r="B23" i="5"/>
  <c r="H23" i="5" s="1"/>
  <c r="A23" i="5"/>
  <c r="B22" i="5"/>
  <c r="H22" i="5" s="1"/>
  <c r="A22" i="5"/>
  <c r="B21" i="5"/>
  <c r="H21" i="5" s="1"/>
  <c r="A21" i="5"/>
  <c r="B20" i="5"/>
  <c r="H20" i="5" s="1"/>
  <c r="A20" i="5"/>
  <c r="B19" i="5"/>
  <c r="H19" i="5" s="1"/>
  <c r="A19" i="5"/>
  <c r="B18" i="5"/>
  <c r="H18" i="5" s="1"/>
  <c r="A18" i="5"/>
  <c r="C17" i="5"/>
  <c r="B17" i="5"/>
  <c r="H17" i="5" s="1"/>
  <c r="A17" i="5"/>
  <c r="F32" i="3"/>
  <c r="F31" i="3"/>
  <c r="F30" i="3"/>
  <c r="F29" i="3"/>
  <c r="F28" i="3"/>
  <c r="F27" i="3"/>
  <c r="F26" i="3"/>
  <c r="F25" i="3"/>
  <c r="F24" i="3"/>
  <c r="F23" i="3"/>
  <c r="F22" i="3"/>
  <c r="F31" i="20" l="1"/>
  <c r="F27" i="20"/>
  <c r="F23" i="20"/>
  <c r="F30" i="20"/>
  <c r="F26" i="20"/>
  <c r="F22" i="20"/>
  <c r="F29" i="20"/>
  <c r="F25" i="20"/>
  <c r="F28" i="20"/>
  <c r="F24" i="20"/>
  <c r="E44" i="29" l="1"/>
  <c r="E31" i="20"/>
  <c r="E30" i="20"/>
  <c r="E29" i="20"/>
  <c r="E28" i="20"/>
  <c r="E27" i="20"/>
  <c r="E26" i="20"/>
  <c r="E25" i="20"/>
  <c r="E24" i="20"/>
  <c r="E23" i="20"/>
  <c r="E22" i="20"/>
  <c r="C31" i="20"/>
  <c r="B31" i="20"/>
  <c r="C30" i="20"/>
  <c r="B30" i="20"/>
  <c r="C29" i="20"/>
  <c r="B29" i="20"/>
  <c r="C28" i="20"/>
  <c r="B28" i="20"/>
  <c r="C27" i="20"/>
  <c r="B27" i="20"/>
  <c r="C26" i="20"/>
  <c r="B26" i="20"/>
  <c r="C25" i="20"/>
  <c r="B25" i="20"/>
  <c r="C24" i="20"/>
  <c r="B24" i="20"/>
  <c r="C23" i="20"/>
  <c r="B23" i="20"/>
  <c r="C22" i="20"/>
  <c r="B22" i="20"/>
  <c r="C21" i="20"/>
  <c r="B21" i="20"/>
  <c r="A31" i="20"/>
  <c r="A30" i="20"/>
  <c r="A29" i="20"/>
  <c r="A28" i="20"/>
  <c r="A27" i="20"/>
  <c r="A26" i="20"/>
  <c r="A25" i="20"/>
  <c r="A24" i="20"/>
  <c r="A23" i="20"/>
  <c r="A22" i="20"/>
  <c r="A21" i="20"/>
  <c r="D27" i="19"/>
  <c r="D26" i="19"/>
  <c r="D25" i="19"/>
  <c r="D24" i="19"/>
  <c r="D23" i="19"/>
  <c r="D22" i="19"/>
  <c r="D21" i="19"/>
  <c r="D20" i="19"/>
  <c r="D19" i="19"/>
  <c r="D18" i="19"/>
  <c r="C27" i="19"/>
  <c r="B27" i="19"/>
  <c r="A27" i="19"/>
  <c r="C26" i="19"/>
  <c r="B26" i="19"/>
  <c r="A26" i="19"/>
  <c r="C25" i="19"/>
  <c r="B25" i="19"/>
  <c r="A25" i="19"/>
  <c r="C24" i="19"/>
  <c r="B24" i="19"/>
  <c r="A24" i="19"/>
  <c r="C23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C18" i="19"/>
  <c r="B18" i="19"/>
  <c r="A18" i="19"/>
  <c r="C17" i="19"/>
  <c r="B17" i="19"/>
  <c r="A17" i="19"/>
  <c r="E21" i="20"/>
  <c r="C26" i="12" l="1"/>
  <c r="A26" i="12"/>
  <c r="C25" i="12"/>
  <c r="A25" i="12"/>
  <c r="C24" i="12"/>
  <c r="A24" i="12"/>
  <c r="C23" i="12"/>
  <c r="A23" i="12"/>
  <c r="C22" i="12"/>
  <c r="A22" i="12"/>
  <c r="C21" i="12"/>
  <c r="A21" i="12"/>
  <c r="C20" i="12"/>
  <c r="A20" i="12"/>
  <c r="C19" i="12"/>
  <c r="A19" i="12"/>
  <c r="C18" i="12"/>
  <c r="A18" i="12"/>
  <c r="C17" i="12"/>
  <c r="A17" i="12"/>
  <c r="C16" i="12"/>
  <c r="A16" i="12"/>
  <c r="C60" i="12"/>
  <c r="A60" i="12"/>
  <c r="C59" i="12"/>
  <c r="A59" i="12"/>
  <c r="C58" i="12"/>
  <c r="A58" i="12"/>
  <c r="C57" i="12"/>
  <c r="A57" i="12"/>
  <c r="C56" i="12"/>
  <c r="A56" i="12"/>
  <c r="C55" i="12"/>
  <c r="A55" i="12"/>
  <c r="C54" i="12"/>
  <c r="A54" i="12"/>
  <c r="C53" i="12"/>
  <c r="A53" i="12"/>
  <c r="C52" i="12"/>
  <c r="A52" i="12"/>
  <c r="C51" i="12"/>
  <c r="A51" i="12"/>
  <c r="C50" i="12"/>
  <c r="A50" i="12"/>
  <c r="E54" i="29" l="1"/>
  <c r="E52" i="29"/>
  <c r="D52" i="29"/>
  <c r="D51" i="29"/>
  <c r="D52" i="3" l="1"/>
  <c r="C52" i="3"/>
  <c r="B52" i="3"/>
  <c r="D51" i="3"/>
  <c r="C51" i="3"/>
  <c r="B51" i="3"/>
  <c r="D50" i="3"/>
  <c r="C50" i="3"/>
  <c r="B50" i="3"/>
  <c r="C49" i="3"/>
  <c r="B49" i="3"/>
  <c r="D48" i="3"/>
  <c r="C48" i="3"/>
  <c r="B48" i="3"/>
  <c r="E26" i="19" l="1"/>
  <c r="E25" i="19"/>
  <c r="E23" i="19"/>
  <c r="E27" i="19"/>
  <c r="G30" i="8"/>
  <c r="G29" i="8"/>
  <c r="D43" i="16" l="1"/>
  <c r="D60" i="12"/>
  <c r="F60" i="12" s="1"/>
  <c r="G60" i="12" s="1"/>
  <c r="D59" i="12"/>
  <c r="F59" i="12" s="1"/>
  <c r="G59" i="12" s="1"/>
  <c r="D58" i="12"/>
  <c r="F58" i="12" s="1"/>
  <c r="G58" i="12" s="1"/>
  <c r="D57" i="12"/>
  <c r="F57" i="12" s="1"/>
  <c r="G57" i="12" s="1"/>
  <c r="D56" i="12"/>
  <c r="F56" i="12" s="1"/>
  <c r="G56" i="12" s="1"/>
  <c r="D55" i="12"/>
  <c r="F55" i="12" s="1"/>
  <c r="G55" i="12" s="1"/>
  <c r="D54" i="12"/>
  <c r="F54" i="12" s="1"/>
  <c r="G54" i="12" s="1"/>
  <c r="D53" i="12"/>
  <c r="F53" i="12" s="1"/>
  <c r="G53" i="12" s="1"/>
  <c r="D52" i="12"/>
  <c r="F52" i="12" s="1"/>
  <c r="G52" i="12" s="1"/>
  <c r="D51" i="12"/>
  <c r="D50" i="12"/>
  <c r="F50" i="12" s="1"/>
  <c r="E65" i="12"/>
  <c r="E64" i="12"/>
  <c r="G50" i="12" l="1"/>
  <c r="F51" i="12"/>
  <c r="G51" i="12" s="1"/>
  <c r="G64" i="12" l="1"/>
  <c r="F63" i="12"/>
  <c r="F62" i="12"/>
  <c r="G63" i="12"/>
  <c r="G62" i="12"/>
  <c r="F64" i="12"/>
  <c r="G65" i="12"/>
  <c r="F65" i="12"/>
  <c r="D26" i="31" l="1"/>
  <c r="C26" i="31"/>
  <c r="B26" i="31"/>
  <c r="D25" i="31"/>
  <c r="C25" i="31"/>
  <c r="B25" i="31"/>
  <c r="D24" i="31"/>
  <c r="C24" i="31"/>
  <c r="B24" i="31"/>
  <c r="D23" i="31"/>
  <c r="C23" i="31"/>
  <c r="B23" i="31"/>
  <c r="D22" i="31"/>
  <c r="C22" i="31"/>
  <c r="B22" i="31"/>
  <c r="D21" i="31"/>
  <c r="C21" i="31"/>
  <c r="B21" i="31"/>
  <c r="D20" i="31"/>
  <c r="C20" i="31"/>
  <c r="B20" i="31"/>
  <c r="D19" i="31"/>
  <c r="C19" i="31"/>
  <c r="B19" i="31"/>
  <c r="D18" i="31"/>
  <c r="C18" i="31"/>
  <c r="B18" i="31"/>
  <c r="D17" i="31"/>
  <c r="C17" i="31"/>
  <c r="B17" i="31"/>
  <c r="D16" i="31"/>
  <c r="C16" i="31"/>
  <c r="B16" i="31"/>
  <c r="F16" i="31" l="1"/>
  <c r="H16" i="31"/>
  <c r="F23" i="31"/>
  <c r="H23" i="31"/>
  <c r="F26" i="31"/>
  <c r="H26" i="31"/>
  <c r="F19" i="31"/>
  <c r="H19" i="31"/>
  <c r="F22" i="31"/>
  <c r="H22" i="31"/>
  <c r="F18" i="31"/>
  <c r="H18" i="31"/>
  <c r="F21" i="31"/>
  <c r="H21" i="31"/>
  <c r="F25" i="31"/>
  <c r="H25" i="31"/>
  <c r="F17" i="31"/>
  <c r="H17" i="31"/>
  <c r="F20" i="31"/>
  <c r="H20" i="31"/>
  <c r="F24" i="31"/>
  <c r="H24" i="31"/>
  <c r="H28" i="31" l="1"/>
  <c r="H29" i="31"/>
  <c r="F29" i="31"/>
  <c r="F28" i="31"/>
  <c r="F31" i="31"/>
  <c r="F30" i="31"/>
  <c r="H30" i="31"/>
  <c r="H31" i="31"/>
  <c r="C25" i="8"/>
  <c r="B25" i="8"/>
  <c r="A25" i="8"/>
  <c r="C24" i="8"/>
  <c r="B24" i="8"/>
  <c r="A24" i="8"/>
  <c r="C23" i="8"/>
  <c r="B23" i="8"/>
  <c r="A23" i="8"/>
  <c r="C22" i="8"/>
  <c r="B22" i="8"/>
  <c r="A22" i="8"/>
  <c r="C21" i="8"/>
  <c r="B21" i="8"/>
  <c r="A21" i="8"/>
  <c r="C20" i="8"/>
  <c r="B20" i="8"/>
  <c r="A20" i="8"/>
  <c r="C19" i="8"/>
  <c r="B19" i="8"/>
  <c r="A19" i="8"/>
  <c r="C18" i="8"/>
  <c r="B18" i="8"/>
  <c r="A18" i="8"/>
  <c r="C17" i="8"/>
  <c r="B17" i="8"/>
  <c r="A17" i="8"/>
  <c r="C16" i="8"/>
  <c r="B16" i="8"/>
  <c r="A16" i="8"/>
  <c r="C15" i="8"/>
  <c r="B15" i="8"/>
  <c r="A15" i="8"/>
  <c r="C26" i="27"/>
  <c r="B26" i="27"/>
  <c r="A26" i="27"/>
  <c r="C25" i="27"/>
  <c r="B25" i="27"/>
  <c r="A25" i="27"/>
  <c r="C24" i="27"/>
  <c r="B24" i="27"/>
  <c r="A24" i="27"/>
  <c r="C23" i="27"/>
  <c r="B23" i="27"/>
  <c r="A23" i="27"/>
  <c r="C22" i="27"/>
  <c r="B22" i="27"/>
  <c r="A22" i="27"/>
  <c r="C21" i="27"/>
  <c r="B21" i="27"/>
  <c r="A21" i="27"/>
  <c r="C20" i="27"/>
  <c r="B20" i="27"/>
  <c r="A20" i="27"/>
  <c r="C19" i="27"/>
  <c r="B19" i="27"/>
  <c r="A19" i="27"/>
  <c r="C18" i="27"/>
  <c r="B18" i="27"/>
  <c r="A18" i="27"/>
  <c r="C17" i="27"/>
  <c r="B17" i="27"/>
  <c r="A17" i="27"/>
  <c r="C16" i="27"/>
  <c r="B16" i="27"/>
  <c r="A16" i="27"/>
  <c r="C26" i="17"/>
  <c r="B26" i="17"/>
  <c r="A26" i="17"/>
  <c r="C25" i="17"/>
  <c r="B25" i="17"/>
  <c r="A25" i="17"/>
  <c r="C24" i="17"/>
  <c r="B24" i="17"/>
  <c r="A24" i="17"/>
  <c r="C23" i="17"/>
  <c r="B23" i="17"/>
  <c r="A23" i="17"/>
  <c r="C22" i="17"/>
  <c r="B22" i="17"/>
  <c r="A22" i="17"/>
  <c r="C21" i="17"/>
  <c r="B21" i="17"/>
  <c r="A21" i="17"/>
  <c r="C20" i="17"/>
  <c r="B20" i="17"/>
  <c r="A20" i="17"/>
  <c r="C19" i="17"/>
  <c r="B19" i="17"/>
  <c r="A19" i="17"/>
  <c r="C18" i="17"/>
  <c r="B18" i="17"/>
  <c r="A18" i="17"/>
  <c r="C17" i="17"/>
  <c r="B17" i="17"/>
  <c r="A17" i="17"/>
  <c r="C16" i="17"/>
  <c r="B16" i="17"/>
  <c r="A16" i="17"/>
  <c r="C28" i="14"/>
  <c r="B28" i="14"/>
  <c r="A28" i="14"/>
  <c r="C27" i="14"/>
  <c r="B27" i="14"/>
  <c r="A27" i="14"/>
  <c r="C26" i="14"/>
  <c r="B26" i="14"/>
  <c r="A26" i="14"/>
  <c r="C25" i="14"/>
  <c r="B25" i="14"/>
  <c r="A25" i="14"/>
  <c r="C24" i="14"/>
  <c r="B24" i="14"/>
  <c r="A24" i="14"/>
  <c r="C23" i="14"/>
  <c r="B23" i="14"/>
  <c r="A23" i="14"/>
  <c r="C22" i="14"/>
  <c r="B22" i="14"/>
  <c r="A22" i="14"/>
  <c r="C21" i="14"/>
  <c r="B21" i="14"/>
  <c r="A21" i="14"/>
  <c r="C20" i="14"/>
  <c r="B20" i="14"/>
  <c r="A20" i="14"/>
  <c r="C19" i="14"/>
  <c r="B19" i="14"/>
  <c r="A19" i="14"/>
  <c r="C18" i="14"/>
  <c r="B18" i="14"/>
  <c r="A18" i="14"/>
  <c r="B30" i="11"/>
  <c r="A30" i="11"/>
  <c r="B29" i="11"/>
  <c r="A29" i="11"/>
  <c r="B28" i="11"/>
  <c r="A28" i="11"/>
  <c r="B27" i="11"/>
  <c r="A27" i="11"/>
  <c r="B26" i="11"/>
  <c r="A26" i="11"/>
  <c r="B25" i="11"/>
  <c r="A25" i="11"/>
  <c r="B24" i="11"/>
  <c r="A24" i="11"/>
  <c r="B23" i="11"/>
  <c r="A23" i="11"/>
  <c r="B22" i="11"/>
  <c r="A22" i="11"/>
  <c r="B21" i="11"/>
  <c r="A21" i="11"/>
  <c r="B20" i="11"/>
  <c r="A20" i="11"/>
  <c r="C32" i="29"/>
  <c r="B32" i="29"/>
  <c r="A32" i="29"/>
  <c r="C31" i="29"/>
  <c r="B31" i="29"/>
  <c r="A31" i="29"/>
  <c r="C30" i="29"/>
  <c r="B30" i="29"/>
  <c r="A30" i="29"/>
  <c r="C29" i="29"/>
  <c r="B29" i="29"/>
  <c r="A29" i="29"/>
  <c r="C28" i="29"/>
  <c r="B28" i="29"/>
  <c r="A28" i="29"/>
  <c r="C27" i="29"/>
  <c r="B27" i="29"/>
  <c r="A27" i="29"/>
  <c r="C26" i="29"/>
  <c r="B26" i="29"/>
  <c r="A26" i="29"/>
  <c r="C25" i="29"/>
  <c r="B25" i="29"/>
  <c r="A25" i="29"/>
  <c r="C24" i="29"/>
  <c r="B24" i="29"/>
  <c r="A24" i="29"/>
  <c r="C23" i="29"/>
  <c r="B23" i="29"/>
  <c r="A23" i="29"/>
  <c r="C22" i="29"/>
  <c r="B22" i="29"/>
  <c r="A22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D25" i="8"/>
  <c r="D24" i="8"/>
  <c r="D23" i="8"/>
  <c r="D22" i="8"/>
  <c r="D21" i="8"/>
  <c r="D20" i="8"/>
  <c r="D19" i="8"/>
  <c r="D18" i="8"/>
  <c r="D17" i="8"/>
  <c r="D16" i="8"/>
  <c r="D15" i="8"/>
  <c r="G64" i="10"/>
  <c r="K17" i="17"/>
  <c r="K16" i="17"/>
  <c r="F52" i="29"/>
  <c r="B63" i="29"/>
  <c r="I31" i="27"/>
  <c r="G31" i="27"/>
  <c r="E31" i="27"/>
  <c r="I30" i="27"/>
  <c r="G30" i="27"/>
  <c r="E30" i="27"/>
  <c r="K26" i="27"/>
  <c r="D26" i="27"/>
  <c r="J26" i="27" s="1"/>
  <c r="K25" i="27"/>
  <c r="D25" i="27"/>
  <c r="F25" i="27" s="1"/>
  <c r="K24" i="27"/>
  <c r="H24" i="27"/>
  <c r="K23" i="27"/>
  <c r="D23" i="27"/>
  <c r="J23" i="27" s="1"/>
  <c r="K22" i="27"/>
  <c r="D22" i="27"/>
  <c r="H22" i="27" s="1"/>
  <c r="K21" i="27"/>
  <c r="D21" i="27"/>
  <c r="F21" i="27" s="1"/>
  <c r="K20" i="27"/>
  <c r="D20" i="27"/>
  <c r="H20" i="27" s="1"/>
  <c r="K19" i="27"/>
  <c r="D19" i="27"/>
  <c r="H19" i="27" s="1"/>
  <c r="K18" i="27"/>
  <c r="D18" i="27"/>
  <c r="F18" i="27" s="1"/>
  <c r="K17" i="27"/>
  <c r="D17" i="27"/>
  <c r="K16" i="27"/>
  <c r="D16" i="27"/>
  <c r="J16" i="27" s="1"/>
  <c r="K26" i="17"/>
  <c r="K25" i="17"/>
  <c r="K24" i="17"/>
  <c r="K23" i="17"/>
  <c r="K22" i="17"/>
  <c r="K21" i="17"/>
  <c r="K20" i="17"/>
  <c r="K19" i="17"/>
  <c r="K18" i="17"/>
  <c r="K29" i="27" l="1"/>
  <c r="K28" i="27"/>
  <c r="K29" i="17"/>
  <c r="K28" i="17"/>
  <c r="G30" i="20"/>
  <c r="G26" i="20"/>
  <c r="G23" i="20"/>
  <c r="G28" i="20"/>
  <c r="G31" i="20"/>
  <c r="G24" i="20"/>
  <c r="G29" i="20"/>
  <c r="G25" i="20"/>
  <c r="G22" i="20"/>
  <c r="G27" i="20"/>
  <c r="J17" i="27"/>
  <c r="F20" i="27"/>
  <c r="J20" i="27"/>
  <c r="F17" i="27"/>
  <c r="D48" i="10"/>
  <c r="J22" i="27"/>
  <c r="F19" i="27"/>
  <c r="F24" i="27"/>
  <c r="J19" i="27"/>
  <c r="F22" i="27"/>
  <c r="J24" i="27"/>
  <c r="K31" i="27"/>
  <c r="G16" i="34" s="1"/>
  <c r="H18" i="27"/>
  <c r="H21" i="27"/>
  <c r="H25" i="27"/>
  <c r="K30" i="27"/>
  <c r="G15" i="34" s="1"/>
  <c r="F16" i="27"/>
  <c r="J18" i="27"/>
  <c r="J21" i="27"/>
  <c r="F23" i="27"/>
  <c r="J25" i="27"/>
  <c r="F26" i="27"/>
  <c r="H16" i="27"/>
  <c r="K30" i="17"/>
  <c r="F15" i="34" s="1"/>
  <c r="K31" i="17"/>
  <c r="F16" i="34" s="1"/>
  <c r="F28" i="27" l="1"/>
  <c r="F29" i="27"/>
  <c r="J29" i="27"/>
  <c r="J28" i="27"/>
  <c r="H28" i="27"/>
  <c r="H29" i="27"/>
  <c r="J31" i="27"/>
  <c r="J30" i="27"/>
  <c r="F31" i="27"/>
  <c r="F30" i="27"/>
  <c r="H31" i="27"/>
  <c r="H30" i="27"/>
  <c r="I31" i="17" l="1"/>
  <c r="I30" i="17"/>
  <c r="I24" i="12" l="1"/>
  <c r="C25" i="5"/>
  <c r="I25" i="5" s="1"/>
  <c r="L25" i="5" s="1"/>
  <c r="M25" i="5" s="1"/>
  <c r="D24" i="17"/>
  <c r="F24" i="17" s="1"/>
  <c r="D30" i="29"/>
  <c r="F30" i="29" s="1"/>
  <c r="E50" i="3"/>
  <c r="H50" i="3" s="1"/>
  <c r="J50" i="3" s="1"/>
  <c r="F28" i="11"/>
  <c r="H28" i="11" s="1"/>
  <c r="D24" i="12"/>
  <c r="F24" i="12" s="1"/>
  <c r="G24" i="12" s="1"/>
  <c r="D23" i="7"/>
  <c r="E25" i="5" l="1"/>
  <c r="F25" i="5" s="1"/>
  <c r="H24" i="17"/>
  <c r="J24" i="17"/>
  <c r="J24" i="12"/>
  <c r="L24" i="12" s="1"/>
  <c r="M24" i="12" s="1"/>
  <c r="J28" i="11"/>
  <c r="I28" i="11"/>
  <c r="F25" i="19" l="1"/>
  <c r="I50" i="3"/>
  <c r="K28" i="11"/>
  <c r="L28" i="11" s="1"/>
  <c r="G31" i="10"/>
  <c r="D23" i="16"/>
  <c r="D22" i="16"/>
  <c r="D21" i="16"/>
  <c r="D20" i="16"/>
  <c r="D16" i="16"/>
  <c r="D14" i="16"/>
  <c r="D41" i="16"/>
  <c r="D40" i="16"/>
  <c r="D42" i="16"/>
  <c r="D46" i="16" l="1"/>
  <c r="D45" i="16"/>
  <c r="D47" i="16"/>
  <c r="D48" i="16"/>
  <c r="J25" i="19"/>
  <c r="D29" i="20"/>
  <c r="H29" i="20" s="1"/>
  <c r="I25" i="19"/>
  <c r="G21" i="20"/>
  <c r="H31" i="19"/>
  <c r="G31" i="19"/>
  <c r="H30" i="19"/>
  <c r="D17" i="19"/>
  <c r="G31" i="17"/>
  <c r="G30" i="17"/>
  <c r="D26" i="17"/>
  <c r="J26" i="17" s="1"/>
  <c r="D25" i="17"/>
  <c r="J25" i="17" s="1"/>
  <c r="D23" i="17"/>
  <c r="J23" i="17" s="1"/>
  <c r="D22" i="17"/>
  <c r="D21" i="17"/>
  <c r="J21" i="17" s="1"/>
  <c r="D20" i="17"/>
  <c r="J20" i="17" s="1"/>
  <c r="D19" i="17"/>
  <c r="J19" i="17" s="1"/>
  <c r="D18" i="17"/>
  <c r="J18" i="17" s="1"/>
  <c r="D17" i="17"/>
  <c r="D16" i="17"/>
  <c r="J16" i="17" s="1"/>
  <c r="E31" i="17"/>
  <c r="E30" i="17"/>
  <c r="H32" i="14"/>
  <c r="H31" i="14"/>
  <c r="I30" i="8"/>
  <c r="I29" i="8"/>
  <c r="F30" i="11"/>
  <c r="H30" i="11" s="1"/>
  <c r="F29" i="11"/>
  <c r="H29" i="11" s="1"/>
  <c r="F27" i="11"/>
  <c r="H27" i="11" s="1"/>
  <c r="F26" i="11"/>
  <c r="H26" i="11" s="1"/>
  <c r="F25" i="11"/>
  <c r="H25" i="11" s="1"/>
  <c r="F24" i="11"/>
  <c r="H24" i="11" s="1"/>
  <c r="H23" i="11"/>
  <c r="F22" i="11"/>
  <c r="H22" i="11" s="1"/>
  <c r="F21" i="11"/>
  <c r="H21" i="11" s="1"/>
  <c r="F20" i="11"/>
  <c r="H20" i="11" s="1"/>
  <c r="E25" i="8"/>
  <c r="E24" i="8"/>
  <c r="E22" i="8"/>
  <c r="E21" i="8"/>
  <c r="E20" i="8"/>
  <c r="E19" i="8"/>
  <c r="E18" i="8"/>
  <c r="E17" i="8"/>
  <c r="E16" i="8"/>
  <c r="E15" i="8"/>
  <c r="C27" i="5"/>
  <c r="I27" i="5" s="1"/>
  <c r="L27" i="5" s="1"/>
  <c r="C26" i="5"/>
  <c r="I26" i="5" s="1"/>
  <c r="L26" i="5" s="1"/>
  <c r="C24" i="5"/>
  <c r="I24" i="5" s="1"/>
  <c r="L24" i="5" s="1"/>
  <c r="C23" i="5"/>
  <c r="I23" i="5" s="1"/>
  <c r="L23" i="5" s="1"/>
  <c r="C22" i="5"/>
  <c r="I22" i="5" s="1"/>
  <c r="L22" i="5" s="1"/>
  <c r="C21" i="5"/>
  <c r="I21" i="5" s="1"/>
  <c r="L21" i="5" s="1"/>
  <c r="C20" i="5"/>
  <c r="I20" i="5" s="1"/>
  <c r="L20" i="5" s="1"/>
  <c r="C19" i="5"/>
  <c r="I19" i="5" s="1"/>
  <c r="L19" i="5" s="1"/>
  <c r="C18" i="5"/>
  <c r="I18" i="5" s="1"/>
  <c r="L18" i="5" s="1"/>
  <c r="I17" i="5"/>
  <c r="L17" i="5" s="1"/>
  <c r="J37" i="12"/>
  <c r="D23" i="10" s="1"/>
  <c r="I37" i="12"/>
  <c r="H36" i="5"/>
  <c r="D56" i="10" s="1"/>
  <c r="G36" i="5"/>
  <c r="K31" i="12"/>
  <c r="E31" i="12"/>
  <c r="K30" i="12"/>
  <c r="E30" i="12"/>
  <c r="D26" i="12"/>
  <c r="F26" i="12" s="1"/>
  <c r="G26" i="12" s="1"/>
  <c r="D25" i="12"/>
  <c r="J25" i="12" s="1"/>
  <c r="D23" i="12"/>
  <c r="D22" i="12"/>
  <c r="F22" i="12" s="1"/>
  <c r="G22" i="12" s="1"/>
  <c r="D21" i="12"/>
  <c r="F21" i="12" s="1"/>
  <c r="G21" i="12" s="1"/>
  <c r="D20" i="12"/>
  <c r="J20" i="12" s="1"/>
  <c r="D19" i="12"/>
  <c r="F19" i="12" s="1"/>
  <c r="G19" i="12" s="1"/>
  <c r="D18" i="12"/>
  <c r="F18" i="12" s="1"/>
  <c r="G18" i="12" s="1"/>
  <c r="D17" i="12"/>
  <c r="J17" i="12" s="1"/>
  <c r="D16" i="12"/>
  <c r="J16" i="12" s="1"/>
  <c r="J17" i="17" l="1"/>
  <c r="H17" i="17"/>
  <c r="L30" i="5"/>
  <c r="L29" i="5"/>
  <c r="J22" i="17"/>
  <c r="F22" i="17"/>
  <c r="J28" i="17"/>
  <c r="J20" i="11"/>
  <c r="I20" i="11"/>
  <c r="J31" i="17"/>
  <c r="J30" i="17"/>
  <c r="J18" i="12"/>
  <c r="L20" i="12"/>
  <c r="M20" i="12" s="1"/>
  <c r="L25" i="12"/>
  <c r="M25" i="12" s="1"/>
  <c r="L16" i="12"/>
  <c r="F17" i="17"/>
  <c r="H25" i="17"/>
  <c r="F25" i="17"/>
  <c r="H19" i="17"/>
  <c r="F19" i="17"/>
  <c r="H22" i="17"/>
  <c r="H26" i="17"/>
  <c r="F26" i="17"/>
  <c r="J21" i="12"/>
  <c r="H20" i="17"/>
  <c r="F20" i="17"/>
  <c r="F18" i="17"/>
  <c r="H21" i="17"/>
  <c r="F21" i="17"/>
  <c r="H16" i="17"/>
  <c r="F16" i="17"/>
  <c r="H23" i="17"/>
  <c r="F23" i="17"/>
  <c r="J19" i="12"/>
  <c r="J22" i="12"/>
  <c r="J26" i="12"/>
  <c r="L17" i="12"/>
  <c r="M17" i="12" s="1"/>
  <c r="J23" i="12"/>
  <c r="F16" i="12"/>
  <c r="F23" i="12"/>
  <c r="G23" i="12" s="1"/>
  <c r="F20" i="12"/>
  <c r="G20" i="12" s="1"/>
  <c r="F17" i="12"/>
  <c r="G17" i="12" s="1"/>
  <c r="F25" i="12"/>
  <c r="G25" i="12" s="1"/>
  <c r="J29" i="17" l="1"/>
  <c r="F29" i="17"/>
  <c r="G16" i="12"/>
  <c r="F28" i="12"/>
  <c r="F29" i="12"/>
  <c r="H29" i="17"/>
  <c r="H28" i="17"/>
  <c r="F28" i="17"/>
  <c r="K20" i="11"/>
  <c r="L20" i="11" s="1"/>
  <c r="F26" i="19"/>
  <c r="F19" i="19"/>
  <c r="I19" i="19" s="1"/>
  <c r="F20" i="19"/>
  <c r="D24" i="20" s="1"/>
  <c r="H24" i="20" s="1"/>
  <c r="F21" i="19"/>
  <c r="F22" i="19"/>
  <c r="D26" i="20" s="1"/>
  <c r="H26" i="20" s="1"/>
  <c r="F23" i="19"/>
  <c r="F24" i="19"/>
  <c r="F27" i="19"/>
  <c r="F18" i="19"/>
  <c r="L18" i="12"/>
  <c r="M18" i="12" s="1"/>
  <c r="L26" i="12"/>
  <c r="M26" i="12" s="1"/>
  <c r="L23" i="12"/>
  <c r="M23" i="12" s="1"/>
  <c r="L22" i="12"/>
  <c r="M22" i="12" s="1"/>
  <c r="F30" i="17"/>
  <c r="F31" i="17"/>
  <c r="L21" i="12"/>
  <c r="M21" i="12" s="1"/>
  <c r="L19" i="12"/>
  <c r="M19" i="12" s="1"/>
  <c r="F17" i="19"/>
  <c r="H30" i="17"/>
  <c r="H31" i="17"/>
  <c r="G30" i="12"/>
  <c r="F31" i="12"/>
  <c r="F30" i="12"/>
  <c r="M16" i="12"/>
  <c r="G31" i="12"/>
  <c r="L29" i="12" l="1"/>
  <c r="D21" i="20"/>
  <c r="H21" i="20" s="1"/>
  <c r="F28" i="19"/>
  <c r="F29" i="19"/>
  <c r="L28" i="12"/>
  <c r="M28" i="12"/>
  <c r="M29" i="12"/>
  <c r="G28" i="12"/>
  <c r="G29" i="12"/>
  <c r="J22" i="19"/>
  <c r="I22" i="19"/>
  <c r="J27" i="19"/>
  <c r="D31" i="20"/>
  <c r="H31" i="20" s="1"/>
  <c r="J23" i="19"/>
  <c r="D27" i="20"/>
  <c r="H27" i="20" s="1"/>
  <c r="J21" i="19"/>
  <c r="D25" i="20"/>
  <c r="H25" i="20" s="1"/>
  <c r="I23" i="19"/>
  <c r="J20" i="19"/>
  <c r="J18" i="19"/>
  <c r="D22" i="20"/>
  <c r="H22" i="20" s="1"/>
  <c r="J24" i="19"/>
  <c r="D28" i="20"/>
  <c r="H28" i="20" s="1"/>
  <c r="J19" i="19"/>
  <c r="D23" i="20"/>
  <c r="H23" i="20" s="1"/>
  <c r="J26" i="19"/>
  <c r="D30" i="20"/>
  <c r="H30" i="20" s="1"/>
  <c r="I20" i="19"/>
  <c r="I24" i="19"/>
  <c r="I26" i="19"/>
  <c r="I21" i="19"/>
  <c r="I27" i="19"/>
  <c r="I18" i="19"/>
  <c r="L31" i="12"/>
  <c r="L30" i="12"/>
  <c r="J17" i="19"/>
  <c r="F31" i="19"/>
  <c r="F30" i="19"/>
  <c r="I17" i="19"/>
  <c r="M31" i="12"/>
  <c r="M30" i="12"/>
  <c r="J29" i="19" l="1"/>
  <c r="J28" i="19"/>
  <c r="I28" i="19"/>
  <c r="I29" i="19"/>
  <c r="H33" i="20"/>
  <c r="H32" i="20"/>
  <c r="H35" i="20"/>
  <c r="H34" i="20"/>
  <c r="J31" i="19"/>
  <c r="J30" i="19"/>
  <c r="I31" i="19"/>
  <c r="I30" i="19"/>
  <c r="J32" i="5"/>
  <c r="J31" i="5"/>
  <c r="J30" i="11"/>
  <c r="J29" i="11"/>
  <c r="J27" i="11"/>
  <c r="J26" i="11"/>
  <c r="J25" i="11"/>
  <c r="J24" i="11"/>
  <c r="J23" i="11"/>
  <c r="J22" i="11"/>
  <c r="J21" i="11"/>
  <c r="I30" i="11"/>
  <c r="I29" i="11"/>
  <c r="I27" i="11"/>
  <c r="I26" i="11"/>
  <c r="I25" i="11"/>
  <c r="I24" i="11"/>
  <c r="I23" i="11"/>
  <c r="I22" i="11"/>
  <c r="I21" i="11"/>
  <c r="F56" i="10"/>
  <c r="C58" i="10"/>
  <c r="C56" i="10"/>
  <c r="F58" i="10"/>
  <c r="F25" i="10"/>
  <c r="C25" i="10"/>
  <c r="F23" i="10"/>
  <c r="C23" i="10"/>
  <c r="K30" i="11" l="1"/>
  <c r="L30" i="11" s="1"/>
  <c r="K22" i="11"/>
  <c r="L22" i="11" s="1"/>
  <c r="K21" i="11"/>
  <c r="L21" i="11" s="1"/>
  <c r="K27" i="11"/>
  <c r="L27" i="11" s="1"/>
  <c r="K26" i="11"/>
  <c r="L26" i="11" s="1"/>
  <c r="K25" i="11"/>
  <c r="L25" i="11" s="1"/>
  <c r="K24" i="11"/>
  <c r="L24" i="11" s="1"/>
  <c r="K23" i="11"/>
  <c r="L23" i="11" s="1"/>
  <c r="K29" i="11"/>
  <c r="L29" i="11" s="1"/>
  <c r="G25" i="10"/>
  <c r="C27" i="10"/>
  <c r="C60" i="10"/>
  <c r="G23" i="10"/>
  <c r="G56" i="10"/>
  <c r="G58" i="10"/>
  <c r="E53" i="29"/>
  <c r="D49" i="3"/>
  <c r="E50" i="29"/>
  <c r="E49" i="29"/>
  <c r="E48" i="29"/>
  <c r="E47" i="29"/>
  <c r="E46" i="29"/>
  <c r="E45" i="29"/>
  <c r="L33" i="11" l="1"/>
  <c r="L32" i="11"/>
  <c r="E24" i="19"/>
  <c r="D54" i="29"/>
  <c r="F54" i="29" s="1"/>
  <c r="E51" i="29"/>
  <c r="F51" i="29" s="1"/>
  <c r="D46" i="29"/>
  <c r="D48" i="29"/>
  <c r="D44" i="29"/>
  <c r="D47" i="29"/>
  <c r="D53" i="29"/>
  <c r="D45" i="29"/>
  <c r="L34" i="11"/>
  <c r="L35" i="11"/>
  <c r="G27" i="10"/>
  <c r="G60" i="10"/>
  <c r="M18" i="5"/>
  <c r="M19" i="5"/>
  <c r="M20" i="5"/>
  <c r="M21" i="5"/>
  <c r="M22" i="5"/>
  <c r="M23" i="5"/>
  <c r="M24" i="5"/>
  <c r="M26" i="5"/>
  <c r="M27" i="5"/>
  <c r="F47" i="29" l="1"/>
  <c r="F48" i="29"/>
  <c r="F50" i="29"/>
  <c r="F49" i="29"/>
  <c r="F45" i="29"/>
  <c r="F53" i="29"/>
  <c r="F44" i="29"/>
  <c r="F46" i="29"/>
  <c r="M17" i="5"/>
  <c r="L31" i="5"/>
  <c r="L32" i="5"/>
  <c r="M30" i="5" l="1"/>
  <c r="M29" i="5"/>
  <c r="F55" i="29"/>
  <c r="D63" i="29" s="1"/>
  <c r="M32" i="5"/>
  <c r="M31" i="5"/>
  <c r="E17" i="5" l="1"/>
  <c r="E44" i="3" l="1"/>
  <c r="A52" i="3" l="1"/>
  <c r="A51" i="3"/>
  <c r="A49" i="3"/>
  <c r="A48" i="3"/>
  <c r="A47" i="3"/>
  <c r="A46" i="3"/>
  <c r="A45" i="3"/>
  <c r="A44" i="3"/>
  <c r="A43" i="3"/>
  <c r="D32" i="29"/>
  <c r="F32" i="29" s="1"/>
  <c r="D31" i="29"/>
  <c r="F31" i="29" s="1"/>
  <c r="D29" i="29"/>
  <c r="F29" i="29" s="1"/>
  <c r="D28" i="29"/>
  <c r="F28" i="29" s="1"/>
  <c r="D47" i="3"/>
  <c r="D46" i="3"/>
  <c r="D45" i="3"/>
  <c r="D44" i="3"/>
  <c r="H44" i="3" s="1"/>
  <c r="J44" i="3" s="1"/>
  <c r="D43" i="3"/>
  <c r="D27" i="29" l="1"/>
  <c r="F27" i="29" s="1"/>
  <c r="E22" i="19"/>
  <c r="D26" i="29"/>
  <c r="F26" i="29" s="1"/>
  <c r="E21" i="19"/>
  <c r="D24" i="29"/>
  <c r="F24" i="29" s="1"/>
  <c r="E19" i="19"/>
  <c r="D25" i="29"/>
  <c r="F25" i="29" s="1"/>
  <c r="E20" i="19"/>
  <c r="D23" i="29"/>
  <c r="F23" i="29" s="1"/>
  <c r="E18" i="19"/>
  <c r="C23" i="7" l="1"/>
  <c r="C62" i="29" s="1"/>
  <c r="C25" i="7"/>
  <c r="C63" i="29" s="1"/>
  <c r="E63" i="29" s="1"/>
  <c r="D25" i="7" l="1"/>
  <c r="J29" i="8" l="1"/>
  <c r="J30" i="8" l="1"/>
  <c r="E52" i="3" l="1"/>
  <c r="H52" i="3" s="1"/>
  <c r="J52" i="3" s="1"/>
  <c r="E51" i="3"/>
  <c r="H51" i="3" s="1"/>
  <c r="J51" i="3" s="1"/>
  <c r="E49" i="3"/>
  <c r="H49" i="3" s="1"/>
  <c r="J49" i="3" s="1"/>
  <c r="E48" i="3"/>
  <c r="E47" i="3"/>
  <c r="H47" i="3" s="1"/>
  <c r="J47" i="3" s="1"/>
  <c r="E46" i="3"/>
  <c r="H46" i="3" s="1"/>
  <c r="J46" i="3" s="1"/>
  <c r="E45" i="3"/>
  <c r="H45" i="3" s="1"/>
  <c r="J45" i="3" s="1"/>
  <c r="H48" i="3" l="1"/>
  <c r="J48" i="3" s="1"/>
  <c r="D22" i="29"/>
  <c r="I47" i="3"/>
  <c r="E17" i="19"/>
  <c r="I52" i="3"/>
  <c r="I51" i="3"/>
  <c r="I46" i="3"/>
  <c r="I49" i="3"/>
  <c r="E26" i="5"/>
  <c r="F26" i="5" s="1"/>
  <c r="F22" i="29" l="1"/>
  <c r="F33" i="29" s="1"/>
  <c r="D62" i="29" s="1"/>
  <c r="I48" i="3"/>
  <c r="I45" i="3"/>
  <c r="E24" i="5"/>
  <c r="F24" i="5" s="1"/>
  <c r="E23" i="5"/>
  <c r="F23" i="5" s="1"/>
  <c r="E62" i="29" l="1"/>
  <c r="E64" i="29" s="1"/>
  <c r="D32" i="5"/>
  <c r="D31" i="5"/>
  <c r="E43" i="3" l="1"/>
  <c r="H43" i="3" s="1"/>
  <c r="J43" i="3" s="1"/>
  <c r="E42" i="3"/>
  <c r="H42" i="3" s="1"/>
  <c r="J42" i="3" s="1"/>
  <c r="J54" i="3" l="1"/>
  <c r="J53" i="3"/>
  <c r="I43" i="3"/>
  <c r="I44" i="3"/>
  <c r="I42" i="3" l="1"/>
  <c r="I55" i="3" s="1"/>
  <c r="J56" i="3"/>
  <c r="I54" i="3" l="1"/>
  <c r="I53" i="3"/>
  <c r="B47" i="3"/>
  <c r="B46" i="3"/>
  <c r="B45" i="3"/>
  <c r="B44" i="3"/>
  <c r="B43" i="3"/>
  <c r="C47" i="3"/>
  <c r="C46" i="3"/>
  <c r="C45" i="3"/>
  <c r="C44" i="3"/>
  <c r="C43" i="3"/>
  <c r="C42" i="3"/>
  <c r="B42" i="3" l="1"/>
  <c r="A42" i="3"/>
  <c r="E27" i="5"/>
  <c r="F27" i="5" s="1"/>
  <c r="E22" i="5"/>
  <c r="F22" i="5" s="1"/>
  <c r="E21" i="5"/>
  <c r="F21" i="5" s="1"/>
  <c r="E20" i="5"/>
  <c r="F20" i="5" s="1"/>
  <c r="E19" i="5"/>
  <c r="F19" i="5" s="1"/>
  <c r="E18" i="5"/>
  <c r="F18" i="5" l="1"/>
  <c r="E30" i="5"/>
  <c r="E29" i="5"/>
  <c r="E31" i="5"/>
  <c r="J55" i="3"/>
  <c r="E32" i="5"/>
  <c r="I56" i="3"/>
  <c r="F17" i="5"/>
  <c r="F31" i="5" l="1"/>
  <c r="F29" i="5"/>
  <c r="F30" i="5"/>
  <c r="F23" i="7"/>
  <c r="G23" i="7" s="1"/>
  <c r="F32" i="5"/>
  <c r="C27" i="7"/>
  <c r="F25" i="7"/>
  <c r="G25" i="7" s="1"/>
  <c r="G2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Brittney (DOR)</author>
    <author>rev3569</author>
    <author>rev4175</author>
  </authors>
  <commentList>
    <comment ref="H22" authorId="0" shapeId="0" xr:uid="{DC473032-3211-4DFE-8DA1-A5D28BCE021E}">
      <text>
        <r>
          <rPr>
            <b/>
            <sz val="9"/>
            <color indexed="81"/>
            <rFont val="Tahoma"/>
            <family val="2"/>
          </rPr>
          <t>Moss, Brittney (DOR)
10Q page 39 of pdf</t>
        </r>
      </text>
    </comment>
    <comment ref="J22" authorId="0" shapeId="0" xr:uid="{E5189406-3B86-4AA0-A423-C0729D71091A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39 of pdf</t>
        </r>
      </text>
    </comment>
    <comment ref="H23" authorId="0" shapeId="0" xr:uid="{ABDE9992-B4BA-464B-A3F3-AB7D0959ADA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68
 of pdf</t>
        </r>
      </text>
    </comment>
    <comment ref="J23" authorId="0" shapeId="0" xr:uid="{97C54741-799E-428D-A777-90E1D6C6A65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68
 of pdf</t>
        </r>
      </text>
    </comment>
    <comment ref="H24" authorId="0" shapeId="0" xr:uid="{357EBCD5-E3B4-440A-9EC2-2E568FD7689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109 of pdf</t>
        </r>
      </text>
    </comment>
    <comment ref="J24" authorId="0" shapeId="0" xr:uid="{92F26101-26FB-4ED3-8028-173A78806A6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109 of pdf</t>
        </r>
      </text>
    </comment>
    <comment ref="H25" authorId="0" shapeId="0" xr:uid="{66CA6F77-B414-45E5-A65B-2FAC5B54C2F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102 of pdf</t>
        </r>
      </text>
    </comment>
    <comment ref="I25" authorId="0" shapeId="0" xr:uid="{EFC0AEA5-F1A1-46B7-9ED0-35C83C28A59B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102 of pdf</t>
        </r>
      </text>
    </comment>
    <comment ref="J25" authorId="0" shapeId="0" xr:uid="{4194FE2C-F705-44A1-A48F-74DC938B38D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102 of pdf
LTD PLUS CURRENT PORTION LTD PLUS NON-CURRENT PORTION OF FINANCIAL LEASES</t>
        </r>
      </text>
    </comment>
    <comment ref="H26" authorId="0" shapeId="0" xr:uid="{C97EB8D6-59AC-4182-A793-081461D852E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10 of pdf</t>
        </r>
      </text>
    </comment>
    <comment ref="J26" authorId="0" shapeId="0" xr:uid="{94DAC37A-30F4-4F3A-B9C4-D6C430BDF1A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10 of pdf</t>
        </r>
      </text>
    </comment>
    <comment ref="H27" authorId="0" shapeId="0" xr:uid="{8AB520F9-299F-472B-AA4B-F31F96CF906A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73 of pdf</t>
        </r>
      </text>
    </comment>
    <comment ref="I27" authorId="0" shapeId="0" xr:uid="{9F89C271-D479-4413-B821-DAB4738B62C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ZERO THIS YEAR
10K PG 64</t>
        </r>
      </text>
    </comment>
    <comment ref="J27" authorId="0" shapeId="0" xr:uid="{77873591-6593-48D0-96E4-F75786C84E2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73 of pdf</t>
        </r>
      </text>
    </comment>
    <comment ref="H28" authorId="0" shapeId="0" xr:uid="{580E8193-C6E5-4277-A675-A2EC225732DB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84 of pdf</t>
        </r>
      </text>
    </comment>
    <comment ref="J28" authorId="0" shapeId="0" xr:uid="{EFA2077C-8E91-4246-918E-CD1C5239580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84 of pdf</t>
        </r>
      </text>
    </comment>
    <comment ref="H29" authorId="0" shapeId="0" xr:uid="{D8E4FB06-C917-40DF-9AA9-9362212701E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43 of pdf</t>
        </r>
      </text>
    </comment>
    <comment ref="J29" authorId="0" shapeId="0" xr:uid="{991E319E-FFFD-4C3A-8EC0-50BD000AF423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43 of pdf</t>
        </r>
      </text>
    </comment>
    <comment ref="H30" authorId="0" shapeId="0" xr:uid="{092D6AA2-A32D-4EA1-9F30-EA40333E2BC3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52 of pdf</t>
        </r>
      </text>
    </comment>
    <comment ref="J30" authorId="0" shapeId="0" xr:uid="{CBBF1FC8-693C-499A-AA39-FC670E75EF4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52 of pdf</t>
        </r>
      </text>
    </comment>
    <comment ref="H31" authorId="0" shapeId="0" xr:uid="{9DAF1D7E-D5DB-4F7D-825A-4144EC3E79F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8 of pdf</t>
        </r>
      </text>
    </comment>
    <comment ref="I31" authorId="0" shapeId="0" xr:uid="{2AC4ECDA-885A-425E-B2AE-248C8F2442B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7</t>
        </r>
      </text>
    </comment>
    <comment ref="J31" authorId="0" shapeId="0" xr:uid="{C6AD3EF4-DAA2-4BA8-88C3-92EE41A2844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8 of pdf</t>
        </r>
      </text>
    </comment>
    <comment ref="H32" authorId="0" shapeId="0" xr:uid="{94D3DCEA-F714-4D82-B47B-707E2502650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  <comment ref="I32" authorId="0" shapeId="0" xr:uid="{9A9A44E6-FFE1-4C93-A998-35BDF48040F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  <comment ref="J32" authorId="0" shapeId="0" xr:uid="{0A2ADBEF-8924-4D5F-B6D4-86F36964F5E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  <comment ref="F38" authorId="1" shapeId="0" xr:uid="{CEF678F7-6580-4CF3-AC8E-A803AFF27478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F42" authorId="0" shapeId="0" xr:uid="{9AC7811E-36EB-4955-8980-20EDB2A9EF4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9/30/24 page 58 of pdf</t>
        </r>
      </text>
    </comment>
    <comment ref="G42" authorId="0" shapeId="0" xr:uid="{BA8E74F3-0692-453C-BFFC-7CD9B5F7FF7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22 Page 63 of pdf</t>
        </r>
      </text>
    </comment>
    <comment ref="G43" authorId="0" shapeId="0" xr:uid="{F4DD744B-6347-45EB-82C7-A1F0A9760200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96 of pdf</t>
        </r>
      </text>
    </comment>
    <comment ref="F44" authorId="0" shapeId="0" xr:uid="{84AEA712-F63E-419F-881F-3BC1517A228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190 of pdf</t>
        </r>
      </text>
    </comment>
    <comment ref="G44" authorId="0" shapeId="0" xr:uid="{059FB4FE-9789-4886-B8C5-833F58B54F2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159 of pdf</t>
        </r>
      </text>
    </comment>
    <comment ref="F45" authorId="0" shapeId="0" xr:uid="{B99EB6C7-86C3-4716-AAC3-F4156BB78E9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147 of pdf  NOTE 9 LEASES</t>
        </r>
      </text>
    </comment>
    <comment ref="G45" authorId="0" shapeId="0" xr:uid="{3EEAE516-FC0F-42EF-AE3B-46BD5D9AE2B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140 of pdf NOTE FINANCIAL INSTRUMENTS</t>
        </r>
      </text>
    </comment>
    <comment ref="F46" authorId="0" shapeId="0" xr:uid="{75DBBA34-BF61-4DC5-9CED-4292709DDFB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10 of pdf
</t>
        </r>
      </text>
    </comment>
    <comment ref="G46" authorId="0" shapeId="0" xr:uid="{4847EE63-36B0-4AF8-8E44-32E31BA99CC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24 of pdf NOTE 6 FAIR VALUE</t>
        </r>
      </text>
    </comment>
    <comment ref="F47" authorId="0" shapeId="0" xr:uid="{554EFEA9-154D-4AEB-9CEE-3F5095B5AAF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123 of pdf</t>
        </r>
      </text>
    </comment>
    <comment ref="G47" authorId="0" shapeId="0" xr:uid="{D5F2315A-272D-420B-8073-5A69574F083A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104 of pdf</t>
        </r>
      </text>
    </comment>
    <comment ref="F48" authorId="0" shapeId="0" xr:uid="{C2297C83-DE45-48DB-88F6-372859B1964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90 of pdf
</t>
        </r>
      </text>
    </comment>
    <comment ref="G48" authorId="0" shapeId="0" xr:uid="{221B4976-C6AD-43C3-ACEE-B528F3D63F4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124 of pdf</t>
        </r>
      </text>
    </comment>
    <comment ref="F49" authorId="0" shapeId="0" xr:uid="{0CAF5D93-2827-4B8D-9C40-4D501E4A22A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56 of pdf
</t>
        </r>
      </text>
    </comment>
    <comment ref="G49" authorId="0" shapeId="0" xr:uid="{7C23B1E5-3E09-430C-8BC2-3612811D419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75 of pdf</t>
        </r>
      </text>
    </comment>
    <comment ref="F50" authorId="0" shapeId="0" xr:uid="{8CE3B6E8-325B-4F02-8419-B3FB6156E76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72 of pdf NOTE 4 states Southwest Gas has no significant operating, finance, or short-term leases.</t>
        </r>
      </text>
    </comment>
    <comment ref="G50" authorId="0" shapeId="0" xr:uid="{612EEEB4-357B-4894-BB21-BCC6F956AFE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83 NOTE 8 DEBT</t>
        </r>
      </text>
    </comment>
    <comment ref="H50" authorId="2" shapeId="0" xr:uid="{41A15A1B-C04F-4155-9BD2-37485FE15DE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 k page 78 of pdf</t>
        </r>
      </text>
    </comment>
    <comment ref="G51" authorId="0" shapeId="0" xr:uid="{B9CB0EBE-1DCA-4F6A-A7E1-DC7F0D6DE1F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32</t>
        </r>
      </text>
    </comment>
    <comment ref="F52" authorId="0" shapeId="0" xr:uid="{233B17D6-BEC6-477F-A01A-31B4BA003B90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145 of pdf</t>
        </r>
      </text>
    </comment>
    <comment ref="G52" authorId="0" shapeId="0" xr:uid="{C6D4F051-0447-4682-A9EA-5E5DE59EA7F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147 NOTE 17 FAIR VALUE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Brittney (DOR)</author>
  </authors>
  <commentList>
    <comment ref="E22" authorId="0" shapeId="0" xr:uid="{B63B50F0-A729-4039-9BC1-9FC570EE729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3</t>
        </r>
      </text>
    </comment>
    <comment ref="E23" authorId="0" shapeId="0" xr:uid="{705AE372-FF7D-4427-84AE-27246BF7A78B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68 of pdf</t>
        </r>
      </text>
    </comment>
    <comment ref="E24" authorId="0" shapeId="0" xr:uid="{6712413C-A013-4F28-B2A4-E9BA0D49222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109 of pdf</t>
        </r>
      </text>
    </comment>
    <comment ref="E25" authorId="0" shapeId="0" xr:uid="{48009800-B079-4B25-AB62-1E386122A2F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102 of pdf</t>
        </r>
      </text>
    </comment>
    <comment ref="E26" authorId="0" shapeId="0" xr:uid="{CF45EA81-382B-44EB-82B3-33A94F1B632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10 of pdf</t>
        </r>
      </text>
    </comment>
    <comment ref="E27" authorId="0" shapeId="0" xr:uid="{6937C0DA-211A-4FFD-AE81-F9741AFEA33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73 of pdf
BEFORE NONCONTROLLING INTEREST</t>
        </r>
      </text>
    </comment>
    <comment ref="E28" authorId="0" shapeId="0" xr:uid="{F957286C-4175-4CC5-A3D3-83960DFF9D1B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84 of pdf</t>
        </r>
      </text>
    </comment>
    <comment ref="E29" authorId="0" shapeId="0" xr:uid="{B76925CF-4B0C-40D6-BDE2-695486DB680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43 of pdf</t>
        </r>
      </text>
    </comment>
    <comment ref="E30" authorId="0" shapeId="0" xr:uid="{FD32346D-72C6-411F-A21F-9804B14C06D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52 of pdf 
BEFORE NONCONTROLLING INTEREST</t>
        </r>
      </text>
    </comment>
    <comment ref="E31" authorId="0" shapeId="0" xr:uid="{C70B93B8-74DB-49AF-822B-410CC5467FE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8 of pdf</t>
        </r>
      </text>
    </comment>
    <comment ref="E32" authorId="0" shapeId="0" xr:uid="{674A43E6-243F-4A92-9765-BFFD1373EB1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Brittney (DOR)</author>
  </authors>
  <commentList>
    <comment ref="D20" authorId="0" shapeId="0" xr:uid="{EABF0190-00D8-4BF8-AA8B-F7E183FD99A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3</t>
        </r>
      </text>
    </comment>
    <comment ref="E20" authorId="0" shapeId="0" xr:uid="{2B721BE8-EAA8-4732-B002-D6ACD8CB6E2B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3</t>
        </r>
      </text>
    </comment>
    <comment ref="G20" authorId="0" shapeId="0" xr:uid="{4C85C1CC-2C30-4924-940C-64CDA25EB28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</t>
        </r>
        <r>
          <rPr>
            <sz val="9"/>
            <color indexed="81"/>
            <rFont val="Tahoma"/>
            <family val="2"/>
          </rPr>
          <t xml:space="preserve">.  </t>
        </r>
        <r>
          <rPr>
            <sz val="11"/>
            <color indexed="81"/>
            <rFont val="Tahoma"/>
            <family val="2"/>
          </rPr>
          <t>3 MONTH YEAR END 12/31/25: 194,645,000
FROM 10Q
2.  12 MONTH YEAR END 9/30/25:  734,745,000
FROM 10K
3.  3 MONTH YEAR END 12/31/24:  180,533,000
FROM 10Q
FORMULA = 1 + (2 - 3)</t>
        </r>
      </text>
    </comment>
    <comment ref="D21" authorId="0" shapeId="0" xr:uid="{D471CBC5-3C80-46F0-84D6-5A919CF4DF2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67 of pdf</t>
        </r>
      </text>
    </comment>
    <comment ref="E21" authorId="0" shapeId="0" xr:uid="{6FFDF4BB-05A3-458C-898C-F3306E3137C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60</t>
        </r>
      </text>
    </comment>
    <comment ref="G21" authorId="0" shapeId="0" xr:uid="{F30E74B7-AEAE-4A12-AC82-E595BE06484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65 of pdf</t>
        </r>
      </text>
    </comment>
    <comment ref="D22" authorId="0" shapeId="0" xr:uid="{658AA8AF-C1D1-46A0-A842-22656DFBCF63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108 of pdf</t>
        </r>
      </text>
    </comment>
    <comment ref="E22" authorId="0" shapeId="0" xr:uid="{D9D2A27D-9F56-4EA3-91C2-8146DE29881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97</t>
        </r>
      </text>
    </comment>
    <comment ref="G22" authorId="0" shapeId="0" xr:uid="{145E7830-6919-4935-843C-D5226DC2D96A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106 of pdf</t>
        </r>
      </text>
    </comment>
    <comment ref="D23" authorId="0" shapeId="0" xr:uid="{D42C95E2-E870-4D5D-A823-EB3EBB62539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101 of pdf</t>
        </r>
      </text>
    </comment>
    <comment ref="E23" authorId="0" shapeId="0" xr:uid="{90E62B5F-D5F1-4577-9171-022B693F1BE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96</t>
        </r>
      </text>
    </comment>
    <comment ref="G23" authorId="0" shapeId="0" xr:uid="{9C3BF40E-2B23-4738-B06E-1A3AD0F59B5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97 of pdf
</t>
        </r>
      </text>
    </comment>
    <comment ref="D24" authorId="0" shapeId="0" xr:uid="{9D8347A8-A31D-4FD1-BADC-489C7830D4A3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9 of pdf</t>
        </r>
      </text>
    </comment>
    <comment ref="E24" authorId="0" shapeId="0" xr:uid="{7F58A313-FEA0-4F91-9B7F-BACD8E06ACA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6</t>
        </r>
      </text>
    </comment>
    <comment ref="G24" authorId="0" shapeId="0" xr:uid="{E100DDA9-8DE4-4525-932D-4BE73939BD7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</t>
        </r>
        <r>
          <rPr>
            <sz val="9"/>
            <color indexed="81"/>
            <rFont val="Tahoma"/>
            <family val="2"/>
          </rPr>
          <t xml:space="preserve">.  </t>
        </r>
        <r>
          <rPr>
            <sz val="11"/>
            <color indexed="81"/>
            <rFont val="Tahoma"/>
            <family val="2"/>
          </rPr>
          <t>3 MONTH YEAR END 12/31/25: 49,576,000
FROM 10Q
2.  12 MONTH YEAR END 9/30/25:188,774,000
FROM 10K
3.  3 MONTH YEAR END 12/31/24:  42,961,000
FROM Q4 Press Release no Form 10Q
FORMULA = 1 + (2 - 3)</t>
        </r>
      </text>
    </comment>
    <comment ref="D25" authorId="0" shapeId="0" xr:uid="{C22DEA18-166B-49A9-A9C9-2FD4EB9B31E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72 of pdf</t>
        </r>
      </text>
    </comment>
    <comment ref="E25" authorId="0" shapeId="0" xr:uid="{1B469A07-FE0D-4D6F-8427-885583FBA1B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63</t>
        </r>
      </text>
    </comment>
    <comment ref="G25" authorId="0" shapeId="0" xr:uid="{71FACAF8-76E9-4954-9E34-430386F7C25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70 of pdf</t>
        </r>
      </text>
    </comment>
    <comment ref="D26" authorId="0" shapeId="0" xr:uid="{CC6A6F67-2B15-4432-815E-7C4096B3F1A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83 of pdf</t>
        </r>
      </text>
    </comment>
    <comment ref="E26" authorId="0" shapeId="0" xr:uid="{45D8C90F-5503-4BD8-A434-F5C6B55CA51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78</t>
        </r>
      </text>
    </comment>
    <comment ref="G26" authorId="0" shapeId="0" xr:uid="{647D54B9-18DE-4F62-9C50-1B37264E637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82 of pdf</t>
        </r>
      </text>
    </comment>
    <comment ref="D27" authorId="0" shapeId="0" xr:uid="{3A712F94-F27F-416C-8449-48D05647973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 PG 42 of pdf</t>
        </r>
      </text>
    </comment>
    <comment ref="E27" authorId="0" shapeId="0" xr:uid="{623CC39B-F899-45EB-A6BF-A1AEB729B76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 PG 40</t>
        </r>
      </text>
    </comment>
    <comment ref="G27" authorId="0" shapeId="0" xr:uid="{FDDD00FE-2B15-4383-BB31-14AD4A77472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40 of pdf</t>
        </r>
      </text>
    </comment>
    <comment ref="D28" authorId="0" shapeId="0" xr:uid="{F031C019-61DE-47A3-A42D-8C0C8A5B493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52 of pdf
GAS PLANT PLUS CWIP</t>
        </r>
      </text>
    </comment>
    <comment ref="E28" authorId="0" shapeId="0" xr:uid="{147226C5-2A24-40CF-8C49-063B9B48B3E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53 
GAS PLANT PLUS CWIP</t>
        </r>
      </text>
    </comment>
    <comment ref="G28" authorId="0" shapeId="0" xr:uid="{687EB7D8-7A2F-4A41-834B-A4B17929ACD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53 of pdf</t>
        </r>
      </text>
    </comment>
    <comment ref="D29" authorId="0" shapeId="0" xr:uid="{312E5CB7-3063-4695-AF0A-FFBD1D17F4F0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7 of pdf</t>
        </r>
      </text>
    </comment>
    <comment ref="E29" authorId="0" shapeId="0" xr:uid="{E6B68808-BE8A-4EBF-A676-27E882A552E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10Q PG 6</t>
        </r>
      </text>
    </comment>
    <comment ref="G29" authorId="0" shapeId="0" xr:uid="{1A443382-457C-4389-BC6F-61753481306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</t>
        </r>
        <r>
          <rPr>
            <sz val="9"/>
            <color indexed="81"/>
            <rFont val="Tahoma"/>
            <family val="2"/>
          </rPr>
          <t xml:space="preserve">.  </t>
        </r>
        <r>
          <rPr>
            <sz val="11"/>
            <color indexed="81"/>
            <rFont val="Tahoma"/>
            <family val="2"/>
          </rPr>
          <t>3 MONTH YEAR END 12/31/25: 81,400,000
FROM 10Q
2.  12 MONTH YEAR END 9/30/25: 298,200,000
FROM 10K
3.  3 MONTH YEAR END 12/31/24: 72,300,000
FROM 10Q
FORMULA = 1 + (2 - 3)</t>
        </r>
      </text>
    </comment>
    <comment ref="D30" authorId="0" shapeId="0" xr:uid="{EB13A2F7-D639-47F5-B1DB-CFB1FC670EA3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  <comment ref="E30" authorId="0" shapeId="0" xr:uid="{F1F8C9EE-FB05-4FED-815C-01F9F2770AD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102</t>
        </r>
      </text>
    </comment>
    <comment ref="G30" authorId="0" shapeId="0" xr:uid="{704D6F6E-5DE9-45FF-B780-767C57E3DEC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98 of pdf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rev3569</author>
  </authors>
  <commentList>
    <comment ref="H19" authorId="0" shapeId="0" xr:uid="{17CB1635-4F29-4E75-BF7E-95BE700F855C}">
      <text>
        <r>
          <rPr>
            <b/>
            <sz val="9"/>
            <color indexed="81"/>
            <rFont val="Tahoma"/>
            <family val="2"/>
          </rPr>
          <t>rev3569:</t>
        </r>
        <r>
          <rPr>
            <sz val="9"/>
            <color indexed="81"/>
            <rFont val="Tahoma"/>
            <family val="2"/>
          </rPr>
          <t xml:space="preserve">
Moody's is not reporting a rating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<sst xmlns="http://schemas.openxmlformats.org/spreadsheetml/2006/main" count="1522" uniqueCount="518">
  <si>
    <t xml:space="preserve"> </t>
  </si>
  <si>
    <t>KENTUCKY DEPARTMENT OF REVENUE</t>
  </si>
  <si>
    <t>Company</t>
  </si>
  <si>
    <t>Ticker</t>
  </si>
  <si>
    <t>Symbol</t>
  </si>
  <si>
    <t xml:space="preserve">Industry </t>
  </si>
  <si>
    <t>Group</t>
  </si>
  <si>
    <t>VL</t>
  </si>
  <si>
    <t>10K / SEC</t>
  </si>
  <si>
    <t>DIVISION OF STATE VALUATION, PUBLIC SERVICE BRANCH</t>
  </si>
  <si>
    <t>Stock Price</t>
  </si>
  <si>
    <t>Preferred Stock</t>
  </si>
  <si>
    <t>Common Stock</t>
  </si>
  <si>
    <t>4th Qtr</t>
  </si>
  <si>
    <t>FMV</t>
  </si>
  <si>
    <t>Calculated</t>
  </si>
  <si>
    <t>Total Market Value</t>
  </si>
  <si>
    <t>% Common Stock</t>
  </si>
  <si>
    <t>Median</t>
  </si>
  <si>
    <t>Average</t>
  </si>
  <si>
    <t xml:space="preserve">Financial </t>
  </si>
  <si>
    <t xml:space="preserve">Actual </t>
  </si>
  <si>
    <t>Strength</t>
  </si>
  <si>
    <t>Tax Rate</t>
  </si>
  <si>
    <t>A</t>
  </si>
  <si>
    <t>B+</t>
  </si>
  <si>
    <t>B++</t>
  </si>
  <si>
    <t>Computed</t>
  </si>
  <si>
    <t>Price</t>
  </si>
  <si>
    <t>Multiple</t>
  </si>
  <si>
    <t>Inverse</t>
  </si>
  <si>
    <t>KENTUCKY</t>
  </si>
  <si>
    <t xml:space="preserve">Source of </t>
  </si>
  <si>
    <t>Capital</t>
  </si>
  <si>
    <t>Cost of Capital</t>
  </si>
  <si>
    <t>Weighted</t>
  </si>
  <si>
    <t>Structure</t>
  </si>
  <si>
    <t>Rate</t>
  </si>
  <si>
    <t>After Tax</t>
  </si>
  <si>
    <t>Cost</t>
  </si>
  <si>
    <t>EQUITY</t>
  </si>
  <si>
    <t>-</t>
  </si>
  <si>
    <t>DEBT</t>
  </si>
  <si>
    <t>TOTAL</t>
  </si>
  <si>
    <t>WEC Energy Group</t>
  </si>
  <si>
    <t>ALE</t>
  </si>
  <si>
    <t>LNT</t>
  </si>
  <si>
    <t>CMS</t>
  </si>
  <si>
    <t>DTE</t>
  </si>
  <si>
    <t>OGE</t>
  </si>
  <si>
    <t>AEE</t>
  </si>
  <si>
    <t>AEP</t>
  </si>
  <si>
    <t>CNP</t>
  </si>
  <si>
    <t>WEC</t>
  </si>
  <si>
    <t>A+</t>
  </si>
  <si>
    <t xml:space="preserve">  </t>
  </si>
  <si>
    <t>High</t>
  </si>
  <si>
    <t>Low</t>
  </si>
  <si>
    <t>DUK</t>
  </si>
  <si>
    <t>ETR</t>
  </si>
  <si>
    <t>Mergent Bond</t>
  </si>
  <si>
    <t>Rating</t>
  </si>
  <si>
    <t>FE</t>
  </si>
  <si>
    <t>Debt Rate</t>
  </si>
  <si>
    <t>S&amp;P</t>
  </si>
  <si>
    <t>S &amp; P</t>
  </si>
  <si>
    <t>% LT Debt &amp; Pref Stock</t>
  </si>
  <si>
    <t>Baa1</t>
  </si>
  <si>
    <t>Baa2</t>
  </si>
  <si>
    <t>BBB+</t>
  </si>
  <si>
    <t>BBB</t>
  </si>
  <si>
    <t xml:space="preserve">Guideline companies were selected from Electric (East &amp; Central &amp; West) Value Line Industry groups. </t>
  </si>
  <si>
    <t>The capital structure of this industry is a representative or typical capital structure of the group, not that of the present owner.  The capital structure selected reflects the most likely arrangement of a prospective buyer.</t>
  </si>
  <si>
    <t>A1</t>
  </si>
  <si>
    <t>Ba1</t>
  </si>
  <si>
    <t>A3</t>
  </si>
  <si>
    <t>Baa3</t>
  </si>
  <si>
    <t>A-</t>
  </si>
  <si>
    <t>BBB-</t>
  </si>
  <si>
    <t>Book Value</t>
  </si>
  <si>
    <t>Shares Issued less Treasury</t>
  </si>
  <si>
    <t>DIRECT CAPITALIZATION RATE CONCLUSION</t>
  </si>
  <si>
    <t>YIELD CAPITALIZATION RATE CONCLUSION</t>
  </si>
  <si>
    <t>GCF After Tax</t>
  </si>
  <si>
    <t>Capitalization Rate</t>
  </si>
  <si>
    <t>Capitalization</t>
  </si>
  <si>
    <t>Marginal</t>
  </si>
  <si>
    <t>CAP RATE</t>
  </si>
  <si>
    <t>NOI After Tax  (NOPAT)</t>
  </si>
  <si>
    <t>WACC</t>
  </si>
  <si>
    <t>Notes:</t>
  </si>
  <si>
    <t>Shares Outstanding *</t>
  </si>
  <si>
    <t>Selected</t>
  </si>
  <si>
    <t>CAPITAL STRUCTURE</t>
  </si>
  <si>
    <t>Maintenance Capital Expenditures</t>
  </si>
  <si>
    <t>Estimate using Guideline Companies</t>
  </si>
  <si>
    <t>Inflation</t>
  </si>
  <si>
    <t>Rate %</t>
  </si>
  <si>
    <t>CPI</t>
  </si>
  <si>
    <t>PP&amp;E Gross</t>
  </si>
  <si>
    <t>PP&amp;E</t>
  </si>
  <si>
    <t>Previous Year</t>
  </si>
  <si>
    <t>Current Year</t>
  </si>
  <si>
    <t>Depreciation</t>
  </si>
  <si>
    <t>Expense</t>
  </si>
  <si>
    <t xml:space="preserve">Average Life of </t>
  </si>
  <si>
    <t>Assets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</si>
  <si>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</si>
  <si>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</si>
  <si>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</si>
  <si>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</si>
  <si>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</si>
  <si>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</si>
  <si>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</si>
  <si>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</si>
  <si>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</si>
  <si>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</si>
  <si>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F/G</t>
  </si>
  <si>
    <t>C*H</t>
  </si>
  <si>
    <t>1/(1=C)^H</t>
  </si>
  <si>
    <t>Replacement</t>
  </si>
  <si>
    <t xml:space="preserve">Cost </t>
  </si>
  <si>
    <t>RC as % of</t>
  </si>
  <si>
    <t>K/G</t>
  </si>
  <si>
    <t>L</t>
  </si>
  <si>
    <t>(D+E)/2</t>
  </si>
  <si>
    <t>(G*I) / (1-J)</t>
  </si>
  <si>
    <t>*</t>
  </si>
  <si>
    <t>Gross Cash Flow</t>
  </si>
  <si>
    <t>NOPAT</t>
  </si>
  <si>
    <t>VL Projected NOI</t>
  </si>
  <si>
    <t xml:space="preserve">Year End </t>
  </si>
  <si>
    <t>VL Historic</t>
  </si>
  <si>
    <t>VL Projected</t>
  </si>
  <si>
    <t>Current</t>
  </si>
  <si>
    <t>Yield</t>
  </si>
  <si>
    <t>BETA SELECTION for CAPM</t>
  </si>
  <si>
    <t>SELECTED AVERAGE &gt;</t>
  </si>
  <si>
    <t>Source</t>
  </si>
  <si>
    <t>GDP</t>
  </si>
  <si>
    <t>Nominal</t>
  </si>
  <si>
    <t>Growth</t>
  </si>
  <si>
    <t>Book Ratio</t>
  </si>
  <si>
    <t>Numeric</t>
  </si>
  <si>
    <t>Caa3</t>
  </si>
  <si>
    <t>Caa2</t>
  </si>
  <si>
    <t>Caa1</t>
  </si>
  <si>
    <t>B3</t>
  </si>
  <si>
    <t>B2</t>
  </si>
  <si>
    <t>B1</t>
  </si>
  <si>
    <t>Ba3</t>
  </si>
  <si>
    <t>Ba2</t>
  </si>
  <si>
    <t>A2</t>
  </si>
  <si>
    <t>Aa3</t>
  </si>
  <si>
    <t>Aa2</t>
  </si>
  <si>
    <t>Aa1</t>
  </si>
  <si>
    <t>Bond Rating Scale</t>
  </si>
  <si>
    <t>Levered Beta</t>
  </si>
  <si>
    <t>https://www.philadelphiafed.org/research-and-data/real-time-center/livingston-survey</t>
  </si>
  <si>
    <t>https://www.philadelphiafed.org/surveys-and-data/real-time-data-research/survey-of-professional-forecasters</t>
  </si>
  <si>
    <t>Preferred Stock ***</t>
  </si>
  <si>
    <t>Long Term Debt **</t>
  </si>
  <si>
    <t xml:space="preserve">** Debt includes  LT Debt , Current portion of LT Debt, and Finance leases from 10K </t>
  </si>
  <si>
    <t>*** Market value of preferred stock assumed to equal book value</t>
  </si>
  <si>
    <t>* Outstanding stock shares are generally already net of Treasury stock shares</t>
  </si>
  <si>
    <t>MODEL</t>
  </si>
  <si>
    <t>EQUITY RATES for YIELD APPROACH</t>
  </si>
  <si>
    <t>CAPM - The CFO Survey</t>
  </si>
  <si>
    <t>CAPM - Fernandez, Banuls, &amp; Acin</t>
  </si>
  <si>
    <t>CAPM - Ex Post (BVR Historical, Arithmeic)</t>
  </si>
  <si>
    <t>CAPM - Ex Post (BVR Historical, Geometric)</t>
  </si>
  <si>
    <t>Empirical CAPM - The CFO Survey</t>
  </si>
  <si>
    <t>Empirical CAPM - Fernandez, Banuls, &amp; Acin</t>
  </si>
  <si>
    <t>Empirical CAPM - Ex Post (BVR Historical, Arithmeic)</t>
  </si>
  <si>
    <t>Empirical CAPM - Ex Post (BVR Historical, Geometric)</t>
  </si>
  <si>
    <t>Stock</t>
  </si>
  <si>
    <t>Dividends</t>
  </si>
  <si>
    <t>Per Share</t>
  </si>
  <si>
    <t>Dividend</t>
  </si>
  <si>
    <t>Historic</t>
  </si>
  <si>
    <t>Dividend Data</t>
  </si>
  <si>
    <t>AA-</t>
  </si>
  <si>
    <t>Earnings</t>
  </si>
  <si>
    <t>Equity</t>
  </si>
  <si>
    <t>Equity Rate</t>
  </si>
  <si>
    <t>(F+G)</t>
  </si>
  <si>
    <t>(F+H)</t>
  </si>
  <si>
    <t xml:space="preserve">Yield Equity Rate - DGM (Dividend Growth) &amp; DGM (Earnings Growth)  </t>
  </si>
  <si>
    <t>Dividend Yield</t>
  </si>
  <si>
    <t xml:space="preserve">Projected Short Term </t>
  </si>
  <si>
    <t>DGM - Earnings Growth Rate &gt;</t>
  </si>
  <si>
    <t>DGM - Dividend Growth Rate &gt;</t>
  </si>
  <si>
    <t>Yield Equity Rate - DGM (Two-Stage)</t>
  </si>
  <si>
    <t>Stable</t>
  </si>
  <si>
    <t>Growth Rate</t>
  </si>
  <si>
    <t>Cost of</t>
  </si>
  <si>
    <t>g</t>
  </si>
  <si>
    <t>DY</t>
  </si>
  <si>
    <t>G1</t>
  </si>
  <si>
    <t>(G1 + g)/2</t>
  </si>
  <si>
    <t>KE = (DY X (1 + .5(G))) + .67 (G1) + .33(g)</t>
  </si>
  <si>
    <t>Kentucky</t>
  </si>
  <si>
    <t>Common Equity</t>
  </si>
  <si>
    <t>.</t>
  </si>
  <si>
    <t xml:space="preserve">Obligations rated Ca are highly speculative and are likely in, or very near, default, with some prospect of recovery in principal and interest. </t>
  </si>
  <si>
    <t xml:space="preserve">Obligations rated C are the lowest-rated class of bonds and are typical­ly in default, with little prospect for recovery of principal and interest. </t>
  </si>
  <si>
    <t xml:space="preserve">Obligations rated Caa are judged to be of poor standing and are subject to very high credit risk . </t>
  </si>
  <si>
    <t>Obligations rated Aaa are judged to be of the highest quality, with minimal risk.</t>
  </si>
  <si>
    <t xml:space="preserve">Obligations rated A are considered upper-medium-grade and are sub­ject to low credit risk. </t>
  </si>
  <si>
    <t xml:space="preserve">Obligations rated B are considered speculative and are subject to high credit risk. </t>
  </si>
  <si>
    <t xml:space="preserve">Obligations rated Ba are judged to have speculative elements and are subject to substantial credit risk. </t>
  </si>
  <si>
    <t xml:space="preserve">Obligations rated Baa are subject to moderate credit risk. They are considered medium-grade and as such may possess speculative characteristics. </t>
  </si>
  <si>
    <t>D1 = Expected Dividends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</si>
  <si>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</t>
    </r>
    <r>
      <rPr>
        <b/>
        <sz val="10"/>
        <color theme="1"/>
        <rFont val="Microsoft GothicNeo"/>
        <family val="2"/>
        <charset val="129"/>
      </rPr>
      <t>1</t>
    </r>
    <r>
      <rPr>
        <b/>
        <sz val="16"/>
        <color theme="1"/>
        <rFont val="Microsoft GothicNeo"/>
        <family val="2"/>
        <charset val="129"/>
      </rPr>
      <t xml:space="preserve"> / P</t>
    </r>
    <r>
      <rPr>
        <b/>
        <sz val="10"/>
        <color theme="1"/>
        <rFont val="Microsoft GothicNeo"/>
        <family val="2"/>
        <charset val="129"/>
      </rPr>
      <t>o</t>
    </r>
    <r>
      <rPr>
        <b/>
        <sz val="16"/>
        <color theme="1"/>
        <rFont val="Microsoft GothicNeo"/>
        <family val="2"/>
        <charset val="129"/>
      </rPr>
      <t>) + G</t>
    </r>
  </si>
  <si>
    <t>KE = Cost of Equity</t>
  </si>
  <si>
    <t>Po   = Current Price</t>
  </si>
  <si>
    <r>
      <t>Price (P</t>
    </r>
    <r>
      <rPr>
        <b/>
        <sz val="9"/>
        <color theme="1"/>
        <rFont val="Microsoft GothicNeo"/>
        <family val="2"/>
        <charset val="129"/>
      </rPr>
      <t>0</t>
    </r>
    <r>
      <rPr>
        <b/>
        <sz val="11"/>
        <color theme="1"/>
        <rFont val="Microsoft GothicNeo"/>
        <family val="2"/>
        <charset val="129"/>
      </rPr>
      <t>)</t>
    </r>
  </si>
  <si>
    <t xml:space="preserve">Dividend Growth Rate </t>
  </si>
  <si>
    <t xml:space="preserve">Earnings Per Share Growth Rate </t>
  </si>
  <si>
    <r>
      <t>Long Term Debt</t>
    </r>
    <r>
      <rPr>
        <b/>
        <sz val="10"/>
        <color theme="1"/>
        <rFont val="Microsoft GothicNeo"/>
        <family val="2"/>
        <charset val="129"/>
      </rPr>
      <t xml:space="preserve"> </t>
    </r>
  </si>
  <si>
    <t>CAPITAL ASSET PRICING MODEL (CAPM)</t>
  </si>
  <si>
    <t>Selected &gt;</t>
  </si>
  <si>
    <t>Inflation and Gross Domestic Product (GDP) Data</t>
  </si>
  <si>
    <t>SELECTED &gt;</t>
  </si>
  <si>
    <t>Equity Risk Premium (ERP)</t>
  </si>
  <si>
    <t>Indicated Equity Rate</t>
  </si>
  <si>
    <t>Industry Risk Premium</t>
  </si>
  <si>
    <t>Weighted Industry Risk Premium (75%)</t>
  </si>
  <si>
    <t>Weighted Equity Risk Premium (25%)</t>
  </si>
  <si>
    <t xml:space="preserve">The CFO Survey  (4) </t>
  </si>
  <si>
    <t>BVR - Historical, Arithmetic Mean  (6)</t>
  </si>
  <si>
    <t>BVR - Historical, Geometric Mean  (7)</t>
  </si>
  <si>
    <t>Empirical CAPM Models</t>
  </si>
  <si>
    <t>CAPM Models</t>
  </si>
  <si>
    <t>KE = Rf + (B  X  ERP X  75%) = (ERP  X  25%)</t>
  </si>
  <si>
    <t>KE = Rf + (B  X  ERP)</t>
  </si>
  <si>
    <t>Industry Beta (B)</t>
  </si>
  <si>
    <t>Value Line Earnings</t>
  </si>
  <si>
    <t>Value Line Dividends</t>
  </si>
  <si>
    <t>Yahoo Finance</t>
  </si>
  <si>
    <t>Return on</t>
  </si>
  <si>
    <t>Gross Revenue</t>
  </si>
  <si>
    <t>Multiplier</t>
  </si>
  <si>
    <t>NOPAT CASH FLOW MULTIPLE &amp; EQUITY RATE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</si>
  <si>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</si>
  <si>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Two-Stage DGM Rate &gt;</t>
  </si>
  <si>
    <t>DGM - Single Stage - Earnings Growth</t>
  </si>
  <si>
    <t>DGM - Single Stage - Dividend Growth</t>
  </si>
  <si>
    <t>DGM - Two Stage - Dividend Growth</t>
  </si>
  <si>
    <t>VL LT Projected NOI</t>
  </si>
  <si>
    <t>Indicated Rate of Debt &gt;</t>
  </si>
  <si>
    <t>Year End</t>
  </si>
  <si>
    <t>&amp; Finance Leases</t>
  </si>
  <si>
    <t>10K Income Statement</t>
  </si>
  <si>
    <t>10K Balance Sheet</t>
  </si>
  <si>
    <t>Indicated Rate of Equity Selected &gt;</t>
  </si>
  <si>
    <t>NOTE:</t>
  </si>
  <si>
    <t>SHORT-TERM GROWTH RATES (5 years)</t>
  </si>
  <si>
    <t>GROWTH &amp; INFLATION RATES</t>
  </si>
  <si>
    <t>Real LT Growth</t>
  </si>
  <si>
    <t>Federal Reserve Statistical Release  10 Yr Inflation protected Treasury securities (1)</t>
  </si>
  <si>
    <t xml:space="preserve">Federal Reserve Statistical Release  20 Yr Inflation protected Treasury securities (1) </t>
  </si>
  <si>
    <t xml:space="preserve">Federal Reserve Statistical Release  30 Yr Inflation protected Treasury securities (1) </t>
  </si>
  <si>
    <t>Federal Reserve Bank of Philadelphia / Livingston Survey Mean  (2)</t>
  </si>
  <si>
    <t>“Since no firm can grow forever at a rate higher than the growth rate of the economy in which it operates, the constant growth rate cannot be greater</t>
  </si>
  <si>
    <t>http://pages.stern.nyu.edu/~adamodar/New_Home_Page/valquestions/stablegrowthrate.htm</t>
  </si>
  <si>
    <t>*Cornell, B. &amp; Gerger, R. (2017) Estimating Terminal Values with Inflation : The Inputs Matter - It is Not a Formulaic Exercise.  Business Valuation Review, Vol.36, Number 4, 117-123.</t>
  </si>
  <si>
    <t>C1  C2  C3</t>
  </si>
  <si>
    <t>1 Yr Projected</t>
  </si>
  <si>
    <t>3-5 Yr Projected</t>
  </si>
  <si>
    <t>Short Term</t>
  </si>
  <si>
    <t>(1)</t>
  </si>
  <si>
    <t>(1)    4 Year compound annual growth rate (CAGR)  - 3 periods</t>
  </si>
  <si>
    <t>Earnings Data</t>
  </si>
  <si>
    <r>
      <t xml:space="preserve">KY DOR                    Earnings Growth Rate                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</si>
  <si>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r>
      <t xml:space="preserve">KY DOR                Dividends Growth Rate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</si>
  <si>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YIELD EQUITY RATE</t>
  </si>
  <si>
    <t>g = b X ROE</t>
  </si>
  <si>
    <t>g = LT growth rate</t>
  </si>
  <si>
    <t>b = reinvestment rate</t>
  </si>
  <si>
    <t>ROE = Return on equity (or return on investment)</t>
  </si>
  <si>
    <t>b = g  / ROE</t>
  </si>
  <si>
    <t>The plowback ratio is multiplied by Net Cash Flow to estimate the amount of additional capital expenditures needed to achieve projected results.</t>
  </si>
  <si>
    <t>Reinvestment Rate =</t>
  </si>
  <si>
    <t>EBIT (1-Tax Rate)</t>
  </si>
  <si>
    <t>Capital Expenditures - Depreciation + Change in Working Capital</t>
  </si>
  <si>
    <t>Aswath Damodaran's model to determine the Reinvesment Rate &gt;</t>
  </si>
  <si>
    <t>It is assumed that the ROE is a fixed (unchanging) rate.</t>
  </si>
  <si>
    <t>Maintenance Capital Expenditures and Change in Working Capital</t>
  </si>
  <si>
    <t>Operating Leases ****</t>
  </si>
  <si>
    <t>Market Value</t>
  </si>
  <si>
    <t>10K</t>
  </si>
  <si>
    <t>Market to</t>
  </si>
  <si>
    <t>Long Term Debt</t>
  </si>
  <si>
    <t xml:space="preserve">Capital </t>
  </si>
  <si>
    <t>Market</t>
  </si>
  <si>
    <t>to Book</t>
  </si>
  <si>
    <t>Composite</t>
  </si>
  <si>
    <t>Total</t>
  </si>
  <si>
    <t>AVERAGE</t>
  </si>
  <si>
    <t>Market to Book Ratios - Obsolescence Measurement</t>
  </si>
  <si>
    <t>Common Total Equity</t>
  </si>
  <si>
    <t>FMV / PV</t>
  </si>
  <si>
    <t>GCF CASH FLOW MULTIPLE &amp; EQUITY RATE</t>
  </si>
  <si>
    <r>
      <t xml:space="preserve">GCF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</si>
  <si>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CFRA                                    S&amp;P Net Advantage</t>
  </si>
  <si>
    <t>Zacks Investment Research</t>
  </si>
  <si>
    <t>*** Market value of operating leases for all companies including the airlines and railroads</t>
  </si>
  <si>
    <t>Companies excluded from the study &gt;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</si>
  <si>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(DY  X  (1+ .5(G)))  + .67(G1)  +  .33(g)</t>
    </r>
  </si>
  <si>
    <t>DY = Dividend Yield     See ValueLine</t>
  </si>
  <si>
    <t>G   = Average growth rate</t>
  </si>
  <si>
    <t>G1 = Short term growth estimate</t>
  </si>
  <si>
    <t>g   = Stable Growth - Nominal growth rate</t>
  </si>
  <si>
    <t>AAA</t>
  </si>
  <si>
    <t>AA+</t>
  </si>
  <si>
    <t>AA</t>
  </si>
  <si>
    <t>Obligations rated Aa are judged to be of high quality, with minimal risk.</t>
  </si>
  <si>
    <t>BB+</t>
  </si>
  <si>
    <t>BB</t>
  </si>
  <si>
    <t>BB-</t>
  </si>
  <si>
    <t>B-</t>
  </si>
  <si>
    <t>CCC+</t>
  </si>
  <si>
    <t>CCC</t>
  </si>
  <si>
    <t>CCC-</t>
  </si>
  <si>
    <t>CC</t>
  </si>
  <si>
    <t>Scale</t>
  </si>
  <si>
    <t>Retained to</t>
  </si>
  <si>
    <t>Shareholders Equity</t>
  </si>
  <si>
    <t>Return on Shareholders Equity -- Annual net profit divided by year-end shareholders equity, expressed as a percentage.</t>
  </si>
  <si>
    <t>Retained to Common Equity -- Net profit less all common and preferred dividends divided by common equity including intangible assets, expressed as a percentage.  Also known as the plowback ratio.</t>
  </si>
  <si>
    <t>Aaa1</t>
  </si>
  <si>
    <t>AAA+</t>
  </si>
  <si>
    <t>Aaa2</t>
  </si>
  <si>
    <t>Aaa3</t>
  </si>
  <si>
    <t>AAA-</t>
  </si>
  <si>
    <t>Ca1</t>
  </si>
  <si>
    <t>CC+</t>
  </si>
  <si>
    <t>Ca2</t>
  </si>
  <si>
    <t>Ca3</t>
  </si>
  <si>
    <t>CC-</t>
  </si>
  <si>
    <t>GROSS REVENUE &amp; GROSS BOOK (EQUITY) MULTIPLES</t>
  </si>
  <si>
    <t>Gross Revenues</t>
  </si>
  <si>
    <t>Gross Book Value Equity</t>
  </si>
  <si>
    <t>Multiple *</t>
  </si>
  <si>
    <t>* This multiple is applicable to service type companies, or those with few assets.  These companies sell at prices related to their revenues.</t>
  </si>
  <si>
    <t>The higher the return on revenue the higher the price to revenue will be.</t>
  </si>
  <si>
    <t>** The book value, or common equity, per share is total owners' equity minus preferred stock divided by the number of common shares outstanding.</t>
  </si>
  <si>
    <t>The purpose of this ratio is to test whether the market price is worth more (or less) than the cost of the assets.</t>
  </si>
  <si>
    <t>If the result is greater than one(1), it indicates the market value exceeds book value and can often be used as a sign of competent management.</t>
  </si>
  <si>
    <t>Share</t>
  </si>
  <si>
    <t>NOPAT Earnings</t>
  </si>
  <si>
    <t>P/E Ratio - Long Term Projection NOPAT</t>
  </si>
  <si>
    <t>&amp; Op Leases</t>
  </si>
  <si>
    <t>CS+LTD +PS +OL</t>
  </si>
  <si>
    <t xml:space="preserve">For rate based companies, the maximum allowed  'rate of return' established by state regulators is not comparable (a mismatch) to the 'cost of equity' calculated above.   </t>
  </si>
  <si>
    <t>Dividend Growth = DY + DG</t>
  </si>
  <si>
    <t>Earnings Growth = DY + EG</t>
  </si>
  <si>
    <t>DY = Dividend Yield</t>
  </si>
  <si>
    <t>DG = Dividend Growth</t>
  </si>
  <si>
    <t>EG = Earnings Growth</t>
  </si>
  <si>
    <t>G = Projected Growth (Div. 5 Yr Growth Rate)</t>
  </si>
  <si>
    <t>G = Projected Growth (Earnings Per Share 5 Yr Growth Rate)</t>
  </si>
  <si>
    <t>MGE Energy (MGEE) - Removed due to a lack of a ValueLine review sheet</t>
  </si>
  <si>
    <t>Per Share **</t>
  </si>
  <si>
    <t>Common Total Equity excludes 'noncontrolling interests' equity value.</t>
  </si>
  <si>
    <t xml:space="preserve">Property, Plant &amp; Equipment includes CWIP, but should exclude intangibles and the associated amortization.  </t>
  </si>
  <si>
    <t xml:space="preserve">http://www.federalreserve.gov/Releases/H15/Current/ </t>
  </si>
  <si>
    <t>Projected 1 Yr</t>
  </si>
  <si>
    <t>Estimated 20-22 to 26-28</t>
  </si>
  <si>
    <t>Earnings Per Share Growth Rate</t>
  </si>
  <si>
    <t>Atmos Energy Corp</t>
  </si>
  <si>
    <t>ATO</t>
  </si>
  <si>
    <t>Gas Utility</t>
  </si>
  <si>
    <t>Black Hills Corporation</t>
  </si>
  <si>
    <t>BKH</t>
  </si>
  <si>
    <t>CenterPoint Energy Inc.</t>
  </si>
  <si>
    <t>CMS Energy Corporation</t>
  </si>
  <si>
    <t>New Jersey Resources Corp</t>
  </si>
  <si>
    <t>NJR</t>
  </si>
  <si>
    <t>NISOURCE Inc.</t>
  </si>
  <si>
    <t>NI</t>
  </si>
  <si>
    <t>NWN</t>
  </si>
  <si>
    <t>One Gas INC</t>
  </si>
  <si>
    <t>OGS</t>
  </si>
  <si>
    <t>SWX</t>
  </si>
  <si>
    <t>SR</t>
  </si>
  <si>
    <t>Delta Natural Gas Company  -  No longer publicly traded.  Peoples Natural Gas acquired Delta.</t>
  </si>
  <si>
    <t>Gas Natural, Inc. - Not publicly traded.  Recently acquired (June 2017) by Black Rock Assets Global Energy &amp; Power.</t>
  </si>
  <si>
    <t>UGI Corporation  -  Gas distribution utility operations too small (27%).  Propane distribution 35% Amerigas.</t>
  </si>
  <si>
    <t>WGL Holdings - Currently merged with AtlaGas Ltd.</t>
  </si>
  <si>
    <t>Companies added to the study last year &gt;</t>
  </si>
  <si>
    <t xml:space="preserve">Black Hills Corporation - 84% of their customers are provided gas distribtuion and 16% are provided electric services.  Serve gas customers in Arkansas, Colorado, Iowa, Kansas, Nebraska, and Wyoming.  </t>
  </si>
  <si>
    <t>CenterPoint Energy Inc - 64% of their customers are provided gas distribtuion and 36% are provided electric services.  This company merged with Vectren Corp. in early 2019 but will be used for our purposes.</t>
  </si>
  <si>
    <t>CMS Energy Corporation - 50% of their customers are provided gas distribution and 50% are provided electric services.</t>
  </si>
  <si>
    <t>MGE Energy Inc. - 51% of their customers are provided gas distribution and 49% are provided electric services.</t>
  </si>
  <si>
    <t>WEC Energy Group - 64% of their customers receive gas distribution as well as electric service</t>
  </si>
  <si>
    <t>Companies to consider in the study &gt;</t>
  </si>
  <si>
    <t xml:space="preserve">Chesapeake Utilities - Regulated business 67%.  Electricity in Florida.    Regulated gas in Delaware, Maryland &amp; Florida.  43% of their business income is associated with unregulated propane distribution.   </t>
  </si>
  <si>
    <t>Natural Gas Utility Distribution</t>
  </si>
  <si>
    <t>Spire Inc / Laclede Group Inc</t>
  </si>
  <si>
    <t>Electric Utility - West</t>
  </si>
  <si>
    <t>Electric Utility - Central</t>
  </si>
  <si>
    <t xml:space="preserve">Risk Free Rate (Rf) </t>
  </si>
  <si>
    <t>Southwest Gas Holdings, Inc</t>
  </si>
  <si>
    <t xml:space="preserve">Northwest Natural Holding Company </t>
  </si>
  <si>
    <t>Three Stage Ex Ante  Version 1  (1) (2)</t>
  </si>
  <si>
    <t>Three Stage Ex Ante  Version 2   (1) (2)</t>
  </si>
  <si>
    <t>CAPM - Ex Ante, Three Stage - V1</t>
  </si>
  <si>
    <t>CAPM - Ex Ante, Three Stage - V2</t>
  </si>
  <si>
    <t>Empirical CAPM - Ex Ante, Three Stage - V1</t>
  </si>
  <si>
    <t>Empirical CAPM - Ex Ante, Three Stage - V2</t>
  </si>
  <si>
    <t>NOPAT CASH FLOW MULTIPLE &amp; EQUITY RATE (LT 26-28 Yr Projected VL</t>
  </si>
  <si>
    <t>Mean</t>
  </si>
  <si>
    <t xml:space="preserve">S&amp;P Rating </t>
  </si>
  <si>
    <t>A market to book ratio over one would be an indication of obsolescence.</t>
  </si>
  <si>
    <t>http://pages.stern.nyu.edu/~adamodar/New_Home_Page/datacurrent.html</t>
  </si>
  <si>
    <t>https://www.richmondfed.org/research/national_economy/cfo_survey</t>
  </si>
  <si>
    <t>https://www.bvresources.com/products/faqs/cost-of-capital-professional</t>
  </si>
  <si>
    <t>Damodaran Implied ERP Ex Ante   Trailing 12 mo Cash Yield (3)</t>
  </si>
  <si>
    <t>Damodaran Implied ERP Ex Ante   Net Cash Yield (3)</t>
  </si>
  <si>
    <t>Damodaran Implied ERP Ex Ante   Norm. Earnings &amp; Payout (3)</t>
  </si>
  <si>
    <t>KROLL Ex Post  - ERP Historical (8)</t>
  </si>
  <si>
    <t>KROLL Ex Post - ERP Supply Side (8)</t>
  </si>
  <si>
    <t>KROLL Ex Ante - ERP Conditional (8)</t>
  </si>
  <si>
    <t>CAPM - Ex Ante  Damodaran 12 Mo Cash Yield</t>
  </si>
  <si>
    <t>CAPM - Ex Ante  Damodaran Net Cash Yield</t>
  </si>
  <si>
    <t>CAPM - Ex Ante  Damodaran NEP</t>
  </si>
  <si>
    <t>CAPM - Ex Post KROLL ERP Historical</t>
  </si>
  <si>
    <t>CAPM - Ex Post  KROLL ERP Supply Side</t>
  </si>
  <si>
    <t>CAPM - Ex Ante  KROLL ERP Conditional</t>
  </si>
  <si>
    <t>Empirical CAPM - Ex Ante  Damodaran 12 Mo Cash Yield</t>
  </si>
  <si>
    <t>Empirical CAPM - Ex Ante  Damodaran Net Cash Yield</t>
  </si>
  <si>
    <t>Empirical CAPM - Ex Ante  Damodaran NEP</t>
  </si>
  <si>
    <t>Empirical CAPM - Ex Post KROLL ERP Historical</t>
  </si>
  <si>
    <t>Empirical CAPM - Ex Post  KROLL ERP Supply Side</t>
  </si>
  <si>
    <t>Empirical CAPM - Ex Ante  KROLL ERP Conditional</t>
  </si>
  <si>
    <t>Damodaran Implied ERP Ex Ante   Avg CF Yield Last 10 Yrs (3)</t>
  </si>
  <si>
    <t>P. Fernandez, T. Garcia de Santos &amp; J.F.Acin  (5)</t>
  </si>
  <si>
    <t>CAPM - Ex Ante  Damodaran Avg CF Yield Last 10 Yrs</t>
  </si>
  <si>
    <t>Empirical CAPM - Ex Ante  Damodaran Avg CF Yield Last 10 Yrs</t>
  </si>
  <si>
    <t>Corporate                          December Avg</t>
  </si>
  <si>
    <t>Utility                                                December Avg</t>
  </si>
  <si>
    <t>2025 Tax Year</t>
  </si>
  <si>
    <t>INFLATION (CPI) &amp; GROSS DOMESTIC PRODUCT (GDP)</t>
  </si>
  <si>
    <t>Federal Reserve Bank of Philadelphia / Livingston Survey  Median (2a)</t>
  </si>
  <si>
    <t>Federal Reserve Bank of Philadelphia  /Survey of Professional Forecasters  Mean (2b)</t>
  </si>
  <si>
    <t xml:space="preserve">Congressional Budget Office Real Economic Projections (3)  </t>
  </si>
  <si>
    <t xml:space="preserve">Congressional Budget Office Real Economic Projections (3a)  </t>
  </si>
  <si>
    <t xml:space="preserve">Congressional Budget Office Real Economic Projections (3b)  </t>
  </si>
  <si>
    <t>The Trading Economics (4)</t>
  </si>
  <si>
    <t>The World Bank (5)</t>
  </si>
  <si>
    <t xml:space="preserve">Federal Reserve Bank "Long Term" Projection - Members &amp; Presidents opinion (6) </t>
  </si>
  <si>
    <t>The Federal Reserve Bank projects their "long-term" estimate of Change in US real GDP at 1.8%</t>
  </si>
  <si>
    <t xml:space="preserve">than the overall growth rate of the economy.”  Dr. Aswath Damodaran (n.d.) The Stable Growth Rate </t>
  </si>
  <si>
    <t>SOURCES:</t>
  </si>
  <si>
    <t>(1)  Federal Reserve Statistical Release</t>
  </si>
  <si>
    <t>(2) (2a)  Federal Reserve Bank of Philadelphia - The Livingston Survey</t>
  </si>
  <si>
    <t>(2b)  Federal Reserve Bank of Philadelphia - Survey of Professional Forecasters</t>
  </si>
  <si>
    <t>(3) (3a) (3b)  The Congressional Budget Office</t>
  </si>
  <si>
    <t>Budget and Economic Data | Congressional Budget Office</t>
  </si>
  <si>
    <t>https://www.cbo.gov/publication/60870</t>
  </si>
  <si>
    <t>(4) The Trading Economics</t>
  </si>
  <si>
    <t>https://tradingeconomics.com/united-states/full-year-gdp-growth</t>
  </si>
  <si>
    <t xml:space="preserve">(5) The World Bank </t>
  </si>
  <si>
    <t>World Bank Group Flagship Report, GlobalEconomic Prospects,  Page 4  Table 1.1 Real GDP</t>
  </si>
  <si>
    <t>http://www.worldbank.org/en/publication/global-economic-prospects</t>
  </si>
  <si>
    <t>(6) Board of Governors of the Federal Reserve System - Federal Reserve Bank Members &amp; Presidents Opinion</t>
  </si>
  <si>
    <t>RISK FREE RATE (Rf)</t>
  </si>
  <si>
    <t xml:space="preserve">10-year U.S. Treasury coupon bonds 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</si>
  <si>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20-year U.S. Treasury coupon bonds</t>
    </r>
  </si>
  <si>
    <t>30-year U.S. Treasury coupon bonds</t>
  </si>
  <si>
    <t>KDOR Selected Risk Free Rate (Rf) &gt;</t>
  </si>
  <si>
    <t>20-year U.S. Treasury coupon bonds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</si>
  <si>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30-year U.S. Treasury coupon bonds</t>
    </r>
  </si>
  <si>
    <t>http://pages.stern.nyu.edu/~adamodar/</t>
  </si>
  <si>
    <t xml:space="preserve">(1) Three Stage Dividend Growth Model, S&amp;P 500.  The Three Stage Ex Ante calculations were performed by Montana.  The Equity risk premiums are shown above.  </t>
  </si>
  <si>
    <t xml:space="preserve">(2) Three Stage Dividend Growth Model, S&amp;P 500.  The Three Stage Ex Ante calculations were performed by Minnesota.  The Equity risk premiums are shown above.  </t>
  </si>
  <si>
    <t>Estimated 22-24 to 28-30</t>
  </si>
  <si>
    <t>Moody's Rating</t>
  </si>
  <si>
    <t>Moody's Bond</t>
  </si>
  <si>
    <t>Moody's</t>
  </si>
  <si>
    <t>DEBT RATE for Direct and Yield Approach</t>
  </si>
  <si>
    <t>N/A</t>
  </si>
  <si>
    <t>2026 CAPITALIZATION RATE STUDY</t>
  </si>
  <si>
    <t>2026 Tax Year</t>
  </si>
  <si>
    <t>Vl Projected 2026</t>
  </si>
  <si>
    <t xml:space="preserve">(6) &amp; (7) Business Valuation Resources, Cost of Capital Professional. (2026). Historical ERP 1928 to present, using arithmetic mean, geometric mean, and 20-Year Treasury Securities. </t>
  </si>
  <si>
    <t>(8) KROLL, Cost of Capital Navigator. (2026).  See Montana Cap Rate Study.</t>
  </si>
  <si>
    <t>Federal Reserve Statistical Release (January 2, 2026)  Treasury Constant Maturities, Nominal (1) :</t>
  </si>
  <si>
    <t>Value Line Investment Survey (January 10, 2026)  Selected Yields on Taxable U.S. Treasury Securities :</t>
  </si>
  <si>
    <t>Damodaran selected Risk-Free rate (January 1, 2026) (7) :</t>
  </si>
  <si>
    <t>KROLL Cost of Capital Navigator Risk-Free rate Ex Post  (January 1, 2026) :</t>
  </si>
  <si>
    <t>First Qtr. 2026,  Feb. 14, 2026, Table 8 &amp; Table 9, Average (Mean) over next 10 yrs</t>
  </si>
  <si>
    <t>Real Economic Projections, Table C-1 Table C-2 pages 27 &amp; 28 Annual Avg. Economic Projections for Calendar years 2026to 2035</t>
  </si>
  <si>
    <t>The Budget and Economic Outlook: 2026 to 2035</t>
  </si>
  <si>
    <t xml:space="preserve">https://www.cbo.gov/system/files/2026-01/60870-Outlook-2026.pdf </t>
  </si>
  <si>
    <t>Trading Economics, United States,  Full Year GDP Growth Rate Forecast for 2026</t>
  </si>
  <si>
    <t>YEAR END 12/31/2025</t>
  </si>
  <si>
    <t>Dec. 31, 2025</t>
  </si>
  <si>
    <t xml:space="preserve">Dec. 20, 2025, Table 3, pg. 8 Mean Inflation Rate &amp; Real GDP for next 10 yrs. </t>
  </si>
  <si>
    <t>Dec. 20, 2025, Table 3, pg. 8 Median Annual CPI Rate &amp; Real GDP Growth Rate over next 10 yrs.</t>
  </si>
  <si>
    <t>January 2025-2026</t>
  </si>
  <si>
    <t>https://www.federalreserve.gov/monetarypolicy/files/fomcprojtabl20251218.pd</t>
  </si>
  <si>
    <t>(3) Implied Equity Risk Premium on January 2, 2026 as determined by Dr. Aswath Damodaran</t>
  </si>
  <si>
    <t xml:space="preserve">(4) The CFO Survey (2025). Data &amp; Results December 17, 2025. Mean average annual S&amp;P return over next ten years (9.9%) less annual yield on 10-year Treasury Bonds (4.29%). </t>
  </si>
  <si>
    <t>(5) Fernandez, P., Garcia D., &amp; Acin, J. F. (2025). Survey: Market Risk Premium and Risk-Free Rate used for 54 countries in 2025. SSRN Electronic Journal.</t>
  </si>
  <si>
    <t>na</t>
  </si>
  <si>
    <t>The Congressional Budget Office projects the U.S. Real GDP annual growth rate of 2.2% in 2026 and 1.8% in 2027       Core CPI = 2.30%</t>
  </si>
  <si>
    <t>The Congressional Budget Office projects the U.S. Inflation CPI 4th Qtr. To 4th Qtr. 2.7% in 2026  2.3% in 2027, 2.0% in 2028 and 2029 to 2030.  2.0% 2031 to 2036</t>
  </si>
  <si>
    <t>The Congressional Budget Office projects the U.S. Real GDP annual growth rates of 1.8% from 2029 to 2030 and 1.8% from 2031 to 2036</t>
  </si>
  <si>
    <t>The Congressional Budget Office projects the U.S. Real GDP average annual (Yr to Yr) growth rates of 2.21% from 2026 to 2030 and 1.80% from 2030 to 2035 and 1.90 GDP overall from 2026 to 2036</t>
  </si>
  <si>
    <t>January 2, 2026  Compare inflation indexed securities to non-inflation indexed securities.  The difference is the inflation rate.  See Minnesota study page 36pdf or Washington study page 6.</t>
  </si>
  <si>
    <t>Medium projection value from Dec. 10, 2025 report Table 1</t>
  </si>
  <si>
    <t>NA</t>
  </si>
  <si>
    <t xml:space="preserve">(5) Fernandez, P., Garcia D., &amp; Acin, J. </t>
  </si>
  <si>
    <t>(7) Aswath Damodaran</t>
  </si>
  <si>
    <t>January 2, 2026  Compare inflation indexed securities to non-inflation 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</si>
</sst>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0.000"/>
    <numFmt numFmtId="168" formatCode="_(* #,##0.000_);_(* \(#,##0.000\);_(* &quot;-&quot;??_);_(@_)"/>
    <numFmt numFmtId="169" formatCode="_(&quot;$&quot;* #,##0.0_);_(&quot;$&quot;* \(#,##0.0\);_(&quot;$&quot;* &quot;-&quot;??_);_(@_)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Helvetica Narrow Bold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Georgia"/>
      <family val="1"/>
    </font>
    <font>
      <sz val="11"/>
      <color theme="1"/>
      <name val="Georgia"/>
      <family val="1"/>
    </font>
    <font>
      <b/>
      <i/>
      <sz val="22"/>
      <color theme="1"/>
      <name val="Georgia"/>
      <family val="1"/>
    </font>
    <font>
      <i/>
      <sz val="11"/>
      <color theme="1"/>
      <name val="Georgia"/>
      <family val="1"/>
    </font>
    <font>
      <b/>
      <sz val="11"/>
      <color theme="1"/>
      <name val="Palatino Roman"/>
      <family val="1"/>
    </font>
    <font>
      <sz val="11"/>
      <color theme="1"/>
      <name val="Palatino Roman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2"/>
      <name val="TIMES"/>
    </font>
    <font>
      <u/>
      <sz val="11"/>
      <color theme="10"/>
      <name val="Calibri"/>
      <family val="2"/>
      <scheme val="minor"/>
    </font>
    <font>
      <sz val="11"/>
      <color theme="1"/>
      <name val="Microsoft GothicNeo"/>
      <family val="2"/>
      <charset val="129"/>
    </font>
    <font>
      <sz val="11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b/>
      <sz val="11"/>
      <name val="Microsoft GothicNeo"/>
      <family val="2"/>
      <charset val="129"/>
    </font>
    <font>
      <b/>
      <sz val="18"/>
      <color theme="1"/>
      <name val="Microsoft GothicNeo"/>
      <family val="2"/>
      <charset val="129"/>
    </font>
    <font>
      <b/>
      <sz val="16"/>
      <color theme="1"/>
      <name val="Microsoft GothicNeo"/>
      <family val="2"/>
      <charset val="129"/>
    </font>
    <font>
      <b/>
      <sz val="12"/>
      <color indexed="8"/>
      <name val="Microsoft GothicNeo"/>
      <family val="2"/>
      <charset val="129"/>
    </font>
    <font>
      <b/>
      <sz val="11"/>
      <color indexed="8"/>
      <name val="Microsoft GothicNeo"/>
      <family val="2"/>
      <charset val="129"/>
    </font>
    <font>
      <b/>
      <sz val="11"/>
      <color rgb="FFFF0000"/>
      <name val="Microsoft GothicNeo"/>
      <family val="2"/>
      <charset val="129"/>
    </font>
    <font>
      <b/>
      <sz val="14"/>
      <color theme="1"/>
      <name val="Microsoft GothicNeo"/>
      <family val="2"/>
      <charset val="129"/>
    </font>
    <font>
      <b/>
      <sz val="10"/>
      <color theme="1"/>
      <name val="Microsoft GothicNeo"/>
      <family val="2"/>
      <charset val="129"/>
    </font>
    <font>
      <sz val="9"/>
      <color theme="1"/>
      <name val="Microsoft GothicNeo"/>
      <family val="2"/>
      <charset val="129"/>
    </font>
    <font>
      <sz val="10"/>
      <color theme="1"/>
      <name val="Microsoft GothicNeo"/>
      <family val="2"/>
      <charset val="129"/>
    </font>
    <font>
      <i/>
      <sz val="9"/>
      <color theme="1"/>
      <name val="Microsoft GothicNeo"/>
      <family val="2"/>
      <charset val="129"/>
    </font>
    <font>
      <b/>
      <sz val="9"/>
      <color theme="1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b/>
      <i/>
      <sz val="10"/>
      <color theme="1"/>
      <name val="Microsoft GothicNeo"/>
      <family val="2"/>
      <charset val="129"/>
    </font>
    <font>
      <sz val="16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b/>
      <sz val="12"/>
      <name val="Microsoft GothicNeo"/>
      <family val="2"/>
      <charset val="129"/>
    </font>
    <font>
      <b/>
      <i/>
      <u/>
      <sz val="11"/>
      <color theme="1"/>
      <name val="Microsoft GothicNeo"/>
      <family val="2"/>
      <charset val="129"/>
    </font>
    <font>
      <b/>
      <i/>
      <sz val="11"/>
      <color theme="1"/>
      <name val="Microsoft GothicNeo"/>
      <family val="2"/>
      <charset val="129"/>
    </font>
    <font>
      <i/>
      <sz val="10"/>
      <color theme="1"/>
      <name val="Microsoft GothicNeo"/>
      <family val="2"/>
      <charset val="129"/>
    </font>
    <font>
      <b/>
      <sz val="16"/>
      <name val="Microsoft GothicNeo"/>
      <family val="2"/>
      <charset val="129"/>
    </font>
    <font>
      <b/>
      <sz val="16"/>
      <color rgb="FFFF0000"/>
      <name val="Microsoft GothicNeo"/>
      <family val="2"/>
      <charset val="129"/>
    </font>
    <font>
      <i/>
      <sz val="11"/>
      <color theme="1"/>
      <name val="Microsoft GothicNeo"/>
      <family val="2"/>
      <charset val="129"/>
    </font>
    <font>
      <b/>
      <sz val="12"/>
      <color rgb="FF0000CC"/>
      <name val="Microsoft GothicNeo"/>
      <family val="2"/>
      <charset val="129"/>
    </font>
    <font>
      <b/>
      <sz val="14"/>
      <name val="Microsoft GothicNeo"/>
      <family val="2"/>
      <charset val="129"/>
    </font>
    <font>
      <u/>
      <sz val="11"/>
      <color theme="10"/>
      <name val="Microsoft GothicNeo"/>
      <family val="2"/>
      <charset val="129"/>
    </font>
    <font>
      <b/>
      <sz val="14"/>
      <color rgb="FFFF0000"/>
      <name val="Microsoft GothicNeo"/>
      <family val="2"/>
      <charset val="129"/>
    </font>
    <font>
      <b/>
      <sz val="11"/>
      <color theme="1"/>
      <name val="Calibri"/>
      <family val="2"/>
      <scheme val="minor"/>
    </font>
    <font>
      <sz val="14"/>
      <color theme="1"/>
      <name val="Microsoft GothicNeo"/>
      <family val="2"/>
      <charset val="129"/>
    </font>
    <font>
      <sz val="20"/>
      <color theme="1"/>
      <name val="Microsoft GothicNeo"/>
      <family val="2"/>
      <charset val="129"/>
    </font>
    <font>
      <b/>
      <sz val="20"/>
      <color theme="1"/>
      <name val="Microsoft GothicNeo"/>
      <family val="2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2"/>
      <color rgb="FF000000"/>
      <name val="Microsoft GothicNeo"/>
      <family val="2"/>
      <charset val="129"/>
    </font>
    <font>
      <sz val="11"/>
      <name val="Calibri"/>
      <family val="2"/>
      <scheme val="minor"/>
    </font>
    <font>
      <b/>
      <sz val="9"/>
      <name val="Microsoft GothicNeo"/>
      <family val="2"/>
      <charset val="129"/>
    </font>
    <font>
      <b/>
      <i/>
      <sz val="18"/>
      <color rgb="FF0000CC"/>
      <name val="Microsoft GothicNeo"/>
      <family val="2"/>
      <charset val="129"/>
    </font>
    <font>
      <b/>
      <i/>
      <sz val="18"/>
      <name val="Microsoft GothicNeo"/>
      <family val="2"/>
      <charset val="129"/>
    </font>
    <font>
      <sz val="11"/>
      <color rgb="FF0000CC"/>
      <name val="Microsoft GothicNeo"/>
      <family val="2"/>
      <charset val="129"/>
    </font>
    <font>
      <sz val="11"/>
      <color theme="1"/>
      <name val="Cordia New"/>
      <family val="2"/>
      <charset val="222"/>
    </font>
    <font>
      <b/>
      <sz val="11"/>
      <color theme="1"/>
      <name val="Cordia New"/>
      <family val="2"/>
      <charset val="222"/>
    </font>
    <font>
      <u/>
      <sz val="11"/>
      <color rgb="FF0000CC"/>
      <name val="Cordia New"/>
      <family val="2"/>
      <charset val="222"/>
    </font>
    <font>
      <b/>
      <i/>
      <sz val="12"/>
      <name val="Microsoft GothicNeo"/>
      <family val="2"/>
      <charset val="129"/>
    </font>
    <font>
      <sz val="10"/>
      <name val="Cordia New"/>
      <family val="2"/>
      <charset val="222"/>
    </font>
    <font>
      <sz val="10"/>
      <color theme="1"/>
      <name val="Cordia New"/>
      <family val="2"/>
      <charset val="222"/>
    </font>
    <font>
      <u/>
      <sz val="11"/>
      <color theme="10"/>
      <name val="Cordia New"/>
      <family val="2"/>
      <charset val="222"/>
    </font>
    <font>
      <sz val="11"/>
      <name val="Cordia New"/>
      <family val="2"/>
      <charset val="222"/>
    </font>
    <font>
      <sz val="9"/>
      <color rgb="FFC00000"/>
      <name val="Aptos"/>
      <family val="2"/>
    </font>
    <font>
      <b/>
      <i/>
      <sz val="14"/>
      <name val="Microsoft GothicNeo"/>
      <family val="2"/>
      <charset val="129"/>
    </font>
    <font>
      <u/>
      <sz val="12"/>
      <color rgb="FF0000CC"/>
      <name val="Microsoft GothicNeo"/>
      <family val="2"/>
      <charset val="129"/>
    </font>
    <font>
      <sz val="12"/>
      <color theme="1"/>
      <name val="Cordia New"/>
      <family val="2"/>
      <charset val="222"/>
    </font>
    <font>
      <b/>
      <sz val="14"/>
      <color theme="1"/>
      <name val="Microsoft GothicNeo Light"/>
      <family val="2"/>
      <charset val="129"/>
    </font>
    <font>
      <b/>
      <sz val="10"/>
      <color theme="1"/>
      <name val="Microsoft GothicNeo Light"/>
      <family val="2"/>
      <charset val="129"/>
    </font>
    <font>
      <b/>
      <sz val="7"/>
      <color theme="1"/>
      <name val="Microsoft GothicNeo Light"/>
      <family val="2"/>
      <charset val="129"/>
    </font>
    <font>
      <b/>
      <sz val="11"/>
      <color theme="1"/>
      <name val="Microsoft GothicNeo Light"/>
      <family val="2"/>
      <charset val="129"/>
    </font>
    <font>
      <sz val="8"/>
      <name val="Calibri"/>
      <family val="2"/>
      <scheme val="minor"/>
    </font>
    <font>
      <b/>
      <sz val="12"/>
      <color rgb="FFA20000"/>
      <name val="Microsoft GothicNeo"/>
      <family val="2"/>
      <charset val="129"/>
    </font>
    <font>
      <sz val="12"/>
      <color rgb="FF5C0000"/>
      <name val="Microsoft GothicNeo"/>
      <family val="2"/>
      <charset val="129"/>
    </font>
    <font>
      <sz val="11"/>
      <color rgb="FFA20000"/>
      <name val="Microsoft GothicNeo"/>
      <family val="2"/>
      <charset val="129"/>
    </font>
    <font>
      <b/>
      <sz val="11"/>
      <color rgb="FFA20000"/>
      <name val="Microsoft GothicNeo"/>
      <family val="2"/>
      <charset val="129"/>
    </font>
    <font>
      <b/>
      <sz val="11"/>
      <color rgb="FF5C0000"/>
      <name val="Microsoft GothicNeo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/>
  </cellStyleXfs>
  <cellXfs count="49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2" fillId="0" borderId="0" xfId="0" applyNumberFormat="1" applyFont="1"/>
    <xf numFmtId="0" fontId="18" fillId="0" borderId="0" xfId="0" applyFont="1"/>
    <xf numFmtId="167" fontId="15" fillId="2" borderId="0" xfId="0" applyNumberFormat="1" applyFont="1" applyFill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43" fontId="24" fillId="0" borderId="0" xfId="1" applyFont="1" applyAlignment="1">
      <alignment horizontal="right" vertical="center"/>
    </xf>
    <xf numFmtId="43" fontId="24" fillId="0" borderId="0" xfId="1" applyFont="1" applyFill="1" applyAlignment="1">
      <alignment horizontal="right" vertical="center"/>
    </xf>
    <xf numFmtId="43" fontId="23" fillId="0" borderId="0" xfId="1" applyFont="1" applyFill="1" applyAlignment="1">
      <alignment horizontal="right"/>
    </xf>
    <xf numFmtId="43" fontId="23" fillId="0" borderId="0" xfId="1" applyFont="1" applyFill="1" applyAlignment="1">
      <alignment horizontal="center"/>
    </xf>
    <xf numFmtId="43" fontId="23" fillId="0" borderId="0" xfId="1" applyFont="1" applyFill="1" applyAlignment="1">
      <alignment horizontal="center" vertical="center"/>
    </xf>
    <xf numFmtId="43" fontId="23" fillId="0" borderId="0" xfId="1" applyFont="1" applyFill="1" applyBorder="1" applyAlignment="1">
      <alignment horizontal="center" vertical="center"/>
    </xf>
    <xf numFmtId="43" fontId="23" fillId="0" borderId="0" xfId="1" applyFont="1" applyFill="1"/>
    <xf numFmtId="164" fontId="23" fillId="0" borderId="0" xfId="1" applyNumberFormat="1" applyFont="1" applyFill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16" xfId="0" applyFont="1" applyBorder="1"/>
    <xf numFmtId="0" fontId="21" fillId="0" borderId="2" xfId="0" applyFont="1" applyBorder="1"/>
    <xf numFmtId="0" fontId="30" fillId="0" borderId="0" xfId="0" applyFont="1"/>
    <xf numFmtId="0" fontId="26" fillId="0" borderId="0" xfId="0" applyFont="1" applyAlignment="1">
      <alignment horizontal="center"/>
    </xf>
    <xf numFmtId="0" fontId="31" fillId="0" borderId="2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3" fillId="0" borderId="2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5" fillId="0" borderId="2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23" fillId="0" borderId="0" xfId="0" applyFont="1"/>
    <xf numFmtId="166" fontId="24" fillId="0" borderId="0" xfId="1" applyNumberFormat="1" applyFont="1" applyFill="1" applyAlignment="1">
      <alignment horizontal="center"/>
    </xf>
    <xf numFmtId="166" fontId="24" fillId="0" borderId="0" xfId="1" applyNumberFormat="1" applyFont="1" applyFill="1"/>
    <xf numFmtId="0" fontId="23" fillId="0" borderId="4" xfId="0" applyFont="1" applyBorder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right"/>
    </xf>
    <xf numFmtId="10" fontId="23" fillId="0" borderId="0" xfId="2" applyNumberFormat="1" applyFont="1" applyFill="1" applyAlignment="1">
      <alignment horizontal="center" vertical="center"/>
    </xf>
    <xf numFmtId="10" fontId="23" fillId="0" borderId="0" xfId="2" applyNumberFormat="1" applyFont="1" applyFill="1" applyBorder="1" applyAlignment="1">
      <alignment horizontal="center" vertical="center"/>
    </xf>
    <xf numFmtId="10" fontId="24" fillId="0" borderId="0" xfId="2" applyNumberFormat="1" applyFont="1" applyAlignment="1">
      <alignment horizontal="right" vertical="center"/>
    </xf>
    <xf numFmtId="10" fontId="24" fillId="0" borderId="0" xfId="2" applyNumberFormat="1" applyFont="1" applyFill="1" applyAlignment="1">
      <alignment horizontal="center" vertical="center"/>
    </xf>
    <xf numFmtId="10" fontId="24" fillId="0" borderId="0" xfId="2" applyNumberFormat="1" applyFont="1" applyFill="1" applyAlignment="1">
      <alignment horizontal="right"/>
    </xf>
    <xf numFmtId="10" fontId="23" fillId="0" borderId="0" xfId="2" applyNumberFormat="1" applyFont="1" applyFill="1" applyAlignment="1">
      <alignment horizontal="right"/>
    </xf>
    <xf numFmtId="10" fontId="23" fillId="0" borderId="0" xfId="2" applyNumberFormat="1" applyFont="1" applyFill="1" applyAlignment="1">
      <alignment horizontal="center"/>
    </xf>
    <xf numFmtId="10" fontId="23" fillId="0" borderId="0" xfId="2" applyNumberFormat="1" applyFont="1" applyFill="1"/>
    <xf numFmtId="0" fontId="21" fillId="3" borderId="20" xfId="0" applyFont="1" applyFill="1" applyBorder="1" applyAlignment="1">
      <alignment horizontal="center"/>
    </xf>
    <xf numFmtId="0" fontId="21" fillId="3" borderId="22" xfId="0" applyFont="1" applyFill="1" applyBorder="1" applyAlignment="1">
      <alignment horizontal="center"/>
    </xf>
    <xf numFmtId="2" fontId="40" fillId="0" borderId="0" xfId="0" applyNumberFormat="1" applyFont="1" applyAlignment="1">
      <alignment horizontal="center"/>
    </xf>
    <xf numFmtId="164" fontId="40" fillId="0" borderId="0" xfId="1" applyNumberFormat="1" applyFont="1" applyAlignment="1"/>
    <xf numFmtId="2" fontId="24" fillId="0" borderId="0" xfId="0" applyNumberFormat="1" applyFont="1" applyAlignment="1">
      <alignment horizontal="center"/>
    </xf>
    <xf numFmtId="0" fontId="36" fillId="0" borderId="0" xfId="0" applyFont="1"/>
    <xf numFmtId="43" fontId="26" fillId="0" borderId="0" xfId="1" applyFont="1" applyFill="1"/>
    <xf numFmtId="2" fontId="40" fillId="0" borderId="4" xfId="0" applyNumberFormat="1" applyFont="1" applyBorder="1" applyAlignment="1">
      <alignment horizontal="center"/>
    </xf>
    <xf numFmtId="10" fontId="24" fillId="0" borderId="0" xfId="2" applyNumberFormat="1" applyFont="1" applyFill="1" applyAlignment="1">
      <alignment horizontal="center"/>
    </xf>
    <xf numFmtId="0" fontId="21" fillId="0" borderId="2" xfId="0" applyFont="1" applyBorder="1" applyAlignment="1">
      <alignment horizontal="center"/>
    </xf>
    <xf numFmtId="0" fontId="33" fillId="0" borderId="17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/>
    </xf>
    <xf numFmtId="0" fontId="21" fillId="0" borderId="4" xfId="0" applyFont="1" applyBorder="1"/>
    <xf numFmtId="2" fontId="23" fillId="0" borderId="0" xfId="0" applyNumberFormat="1" applyFont="1" applyAlignment="1">
      <alignment horizontal="right"/>
    </xf>
    <xf numFmtId="10" fontId="23" fillId="0" borderId="0" xfId="0" applyNumberFormat="1" applyFont="1"/>
    <xf numFmtId="0" fontId="41" fillId="0" borderId="0" xfId="0" applyFont="1" applyAlignment="1">
      <alignment horizontal="center"/>
    </xf>
    <xf numFmtId="0" fontId="42" fillId="0" borderId="0" xfId="0" applyFont="1"/>
    <xf numFmtId="0" fontId="43" fillId="0" borderId="17" xfId="0" applyFont="1" applyBorder="1" applyAlignment="1">
      <alignment horizontal="center"/>
    </xf>
    <xf numFmtId="0" fontId="38" fillId="0" borderId="0" xfId="0" applyFont="1" applyAlignment="1">
      <alignment horizontal="right"/>
    </xf>
    <xf numFmtId="0" fontId="30" fillId="0" borderId="0" xfId="0" applyFont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10" fontId="23" fillId="0" borderId="0" xfId="2" applyNumberFormat="1" applyFont="1"/>
    <xf numFmtId="10" fontId="23" fillId="0" borderId="0" xfId="1" applyNumberFormat="1" applyFont="1" applyFill="1"/>
    <xf numFmtId="10" fontId="45" fillId="0" borderId="0" xfId="2" applyNumberFormat="1" applyFont="1" applyFill="1" applyAlignment="1">
      <alignment horizontal="center"/>
    </xf>
    <xf numFmtId="164" fontId="23" fillId="0" borderId="0" xfId="1" applyNumberFormat="1" applyFont="1"/>
    <xf numFmtId="0" fontId="21" fillId="0" borderId="0" xfId="0" applyFont="1" applyAlignment="1">
      <alignment horizontal="left"/>
    </xf>
    <xf numFmtId="0" fontId="23" fillId="0" borderId="2" xfId="0" applyFont="1" applyBorder="1"/>
    <xf numFmtId="0" fontId="36" fillId="0" borderId="7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0" borderId="0" xfId="0" applyFont="1" applyAlignment="1">
      <alignment horizontal="center"/>
    </xf>
    <xf numFmtId="15" fontId="36" fillId="0" borderId="10" xfId="0" applyNumberFormat="1" applyFont="1" applyBorder="1" applyAlignment="1">
      <alignment horizontal="center"/>
    </xf>
    <xf numFmtId="15" fontId="36" fillId="0" borderId="0" xfId="0" applyNumberFormat="1" applyFont="1" applyAlignment="1">
      <alignment horizontal="center"/>
    </xf>
    <xf numFmtId="15" fontId="36" fillId="0" borderId="10" xfId="0" quotePrefix="1" applyNumberFormat="1" applyFont="1" applyBorder="1" applyAlignment="1">
      <alignment horizontal="center"/>
    </xf>
    <xf numFmtId="15" fontId="36" fillId="0" borderId="0" xfId="0" quotePrefix="1" applyNumberFormat="1" applyFont="1" applyAlignment="1">
      <alignment horizontal="center"/>
    </xf>
    <xf numFmtId="0" fontId="24" fillId="0" borderId="10" xfId="0" applyFont="1" applyBorder="1" applyAlignment="1">
      <alignment horizontal="center"/>
    </xf>
    <xf numFmtId="0" fontId="40" fillId="0" borderId="10" xfId="0" applyFont="1" applyBorder="1" applyAlignment="1">
      <alignment horizontal="center"/>
    </xf>
    <xf numFmtId="0" fontId="36" fillId="0" borderId="8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36" fillId="0" borderId="10" xfId="0" applyFont="1" applyBorder="1"/>
    <xf numFmtId="0" fontId="36" fillId="0" borderId="7" xfId="0" applyFont="1" applyBorder="1"/>
    <xf numFmtId="0" fontId="40" fillId="0" borderId="0" xfId="0" applyFont="1" applyAlignment="1">
      <alignment horizontal="center"/>
    </xf>
    <xf numFmtId="2" fontId="40" fillId="0" borderId="10" xfId="0" applyNumberFormat="1" applyFont="1" applyBorder="1" applyAlignment="1">
      <alignment horizontal="center"/>
    </xf>
    <xf numFmtId="0" fontId="40" fillId="0" borderId="7" xfId="0" applyFont="1" applyBorder="1"/>
    <xf numFmtId="0" fontId="36" fillId="0" borderId="8" xfId="0" applyFont="1" applyBorder="1"/>
    <xf numFmtId="3" fontId="40" fillId="0" borderId="2" xfId="0" applyNumberFormat="1" applyFont="1" applyBorder="1"/>
    <xf numFmtId="0" fontId="39" fillId="0" borderId="0" xfId="0" applyFont="1"/>
    <xf numFmtId="0" fontId="39" fillId="0" borderId="2" xfId="0" applyFont="1" applyBorder="1"/>
    <xf numFmtId="0" fontId="39" fillId="0" borderId="5" xfId="0" applyFont="1" applyBorder="1"/>
    <xf numFmtId="0" fontId="39" fillId="0" borderId="6" xfId="0" applyFont="1" applyBorder="1"/>
    <xf numFmtId="15" fontId="36" fillId="0" borderId="6" xfId="0" quotePrefix="1" applyNumberFormat="1" applyFont="1" applyBorder="1" applyAlignment="1">
      <alignment horizontal="center"/>
    </xf>
    <xf numFmtId="0" fontId="21" fillId="0" borderId="6" xfId="0" applyFont="1" applyBorder="1"/>
    <xf numFmtId="0" fontId="36" fillId="0" borderId="14" xfId="0" applyFont="1" applyBorder="1" applyAlignment="1">
      <alignment horizontal="center"/>
    </xf>
    <xf numFmtId="0" fontId="37" fillId="0" borderId="15" xfId="0" applyFont="1" applyBorder="1" applyAlignment="1">
      <alignment horizontal="center"/>
    </xf>
    <xf numFmtId="164" fontId="40" fillId="0" borderId="0" xfId="1" applyNumberFormat="1" applyFont="1" applyFill="1" applyBorder="1"/>
    <xf numFmtId="0" fontId="36" fillId="0" borderId="0" xfId="0" applyFont="1" applyAlignment="1">
      <alignment horizontal="right"/>
    </xf>
    <xf numFmtId="164" fontId="23" fillId="0" borderId="0" xfId="0" applyNumberFormat="1" applyFont="1"/>
    <xf numFmtId="10" fontId="36" fillId="0" borderId="0" xfId="0" applyNumberFormat="1" applyFont="1" applyAlignment="1">
      <alignment horizontal="right"/>
    </xf>
    <xf numFmtId="10" fontId="36" fillId="0" borderId="0" xfId="2" applyNumberFormat="1" applyFont="1" applyFill="1"/>
    <xf numFmtId="10" fontId="36" fillId="0" borderId="0" xfId="2" applyNumberFormat="1" applyFont="1"/>
    <xf numFmtId="2" fontId="21" fillId="0" borderId="0" xfId="0" applyNumberFormat="1" applyFont="1"/>
    <xf numFmtId="0" fontId="23" fillId="0" borderId="1" xfId="0" applyFont="1" applyBorder="1" applyAlignment="1">
      <alignment horizontal="center"/>
    </xf>
    <xf numFmtId="0" fontId="30" fillId="0" borderId="0" xfId="0" applyFont="1" applyAlignment="1">
      <alignment horizontal="right"/>
    </xf>
    <xf numFmtId="0" fontId="24" fillId="0" borderId="0" xfId="0" applyFont="1"/>
    <xf numFmtId="0" fontId="22" fillId="0" borderId="0" xfId="0" applyFont="1"/>
    <xf numFmtId="0" fontId="22" fillId="0" borderId="0" xfId="0" applyFont="1" applyAlignment="1">
      <alignment horizontal="left"/>
    </xf>
    <xf numFmtId="165" fontId="23" fillId="0" borderId="0" xfId="3" applyNumberFormat="1" applyFont="1" applyFill="1" applyAlignment="1">
      <alignment horizontal="center"/>
    </xf>
    <xf numFmtId="164" fontId="24" fillId="0" borderId="0" xfId="1" applyNumberFormat="1" applyFont="1" applyFill="1"/>
    <xf numFmtId="10" fontId="24" fillId="0" borderId="0" xfId="2" applyNumberFormat="1" applyFont="1" applyFill="1"/>
    <xf numFmtId="0" fontId="30" fillId="0" borderId="2" xfId="0" applyFont="1" applyBorder="1" applyAlignment="1">
      <alignment horizontal="center"/>
    </xf>
    <xf numFmtId="10" fontId="40" fillId="0" borderId="0" xfId="2" applyNumberFormat="1" applyFont="1" applyFill="1" applyAlignment="1">
      <alignment horizontal="center"/>
    </xf>
    <xf numFmtId="10" fontId="40" fillId="0" borderId="0" xfId="2" applyNumberFormat="1" applyFont="1" applyFill="1"/>
    <xf numFmtId="2" fontId="36" fillId="0" borderId="2" xfId="0" applyNumberFormat="1" applyFont="1" applyBorder="1" applyAlignment="1">
      <alignment horizontal="center"/>
    </xf>
    <xf numFmtId="10" fontId="36" fillId="0" borderId="2" xfId="2" applyNumberFormat="1" applyFont="1" applyBorder="1"/>
    <xf numFmtId="10" fontId="36" fillId="0" borderId="0" xfId="0" applyNumberFormat="1" applyFont="1" applyAlignment="1">
      <alignment horizontal="center"/>
    </xf>
    <xf numFmtId="2" fontId="36" fillId="0" borderId="0" xfId="0" applyNumberFormat="1" applyFont="1" applyAlignment="1">
      <alignment horizontal="center"/>
    </xf>
    <xf numFmtId="0" fontId="40" fillId="0" borderId="0" xfId="0" applyFont="1"/>
    <xf numFmtId="0" fontId="36" fillId="0" borderId="0" xfId="0" applyFont="1" applyAlignment="1">
      <alignment horizontal="left"/>
    </xf>
    <xf numFmtId="10" fontId="24" fillId="0" borderId="4" xfId="2" applyNumberFormat="1" applyFont="1" applyFill="1" applyBorder="1" applyAlignment="1">
      <alignment horizontal="center"/>
    </xf>
    <xf numFmtId="10" fontId="21" fillId="0" borderId="0" xfId="0" applyNumberFormat="1" applyFont="1"/>
    <xf numFmtId="0" fontId="20" fillId="0" borderId="0" xfId="6"/>
    <xf numFmtId="0" fontId="50" fillId="0" borderId="2" xfId="0" applyFont="1" applyBorder="1"/>
    <xf numFmtId="0" fontId="0" fillId="0" borderId="2" xfId="0" applyBorder="1"/>
    <xf numFmtId="0" fontId="30" fillId="0" borderId="2" xfId="0" applyFont="1" applyBorder="1"/>
    <xf numFmtId="0" fontId="21" fillId="0" borderId="5" xfId="0" applyFont="1" applyBorder="1"/>
    <xf numFmtId="0" fontId="21" fillId="0" borderId="12" xfId="0" applyFont="1" applyBorder="1"/>
    <xf numFmtId="0" fontId="23" fillId="0" borderId="8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10" fontId="30" fillId="0" borderId="2" xfId="2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50" fillId="0" borderId="33" xfId="0" applyFont="1" applyBorder="1"/>
    <xf numFmtId="0" fontId="36" fillId="0" borderId="31" xfId="0" applyFont="1" applyBorder="1"/>
    <xf numFmtId="0" fontId="36" fillId="0" borderId="1" xfId="0" applyFont="1" applyBorder="1"/>
    <xf numFmtId="10" fontId="40" fillId="0" borderId="0" xfId="2" applyNumberFormat="1" applyFont="1" applyAlignment="1">
      <alignment horizontal="right" vertical="center"/>
    </xf>
    <xf numFmtId="10" fontId="36" fillId="0" borderId="0" xfId="2" applyNumberFormat="1" applyFont="1" applyFill="1" applyAlignment="1">
      <alignment horizontal="right"/>
    </xf>
    <xf numFmtId="0" fontId="36" fillId="0" borderId="0" xfId="0" applyFont="1" applyAlignment="1">
      <alignment horizontal="center" vertical="center"/>
    </xf>
    <xf numFmtId="44" fontId="40" fillId="0" borderId="0" xfId="3" applyFont="1" applyAlignment="1">
      <alignment horizontal="center"/>
    </xf>
    <xf numFmtId="0" fontId="23" fillId="0" borderId="0" xfId="0" applyFont="1" applyAlignment="1">
      <alignment horizontal="right" vertical="center"/>
    </xf>
    <xf numFmtId="0" fontId="46" fillId="0" borderId="0" xfId="0" applyFont="1"/>
    <xf numFmtId="0" fontId="0" fillId="0" borderId="34" xfId="0" applyBorder="1"/>
    <xf numFmtId="10" fontId="40" fillId="0" borderId="16" xfId="2" applyNumberFormat="1" applyFont="1" applyFill="1" applyBorder="1"/>
    <xf numFmtId="0" fontId="21" fillId="0" borderId="32" xfId="0" applyFont="1" applyBorder="1"/>
    <xf numFmtId="0" fontId="26" fillId="0" borderId="34" xfId="0" applyFont="1" applyBorder="1" applyAlignment="1">
      <alignment horizontal="right"/>
    </xf>
    <xf numFmtId="0" fontId="25" fillId="0" borderId="32" xfId="0" applyFont="1" applyBorder="1"/>
    <xf numFmtId="0" fontId="25" fillId="0" borderId="34" xfId="0" applyFont="1" applyBorder="1" applyAlignment="1">
      <alignment horizontal="right"/>
    </xf>
    <xf numFmtId="0" fontId="25" fillId="0" borderId="34" xfId="0" applyFont="1" applyBorder="1"/>
    <xf numFmtId="0" fontId="21" fillId="0" borderId="34" xfId="0" applyFont="1" applyBorder="1"/>
    <xf numFmtId="0" fontId="36" fillId="0" borderId="7" xfId="0" applyFont="1" applyBorder="1" applyAlignment="1">
      <alignment horizontal="center" vertical="center"/>
    </xf>
    <xf numFmtId="10" fontId="36" fillId="0" borderId="0" xfId="2" applyNumberFormat="1" applyFont="1" applyBorder="1" applyAlignment="1">
      <alignment horizontal="center" vertical="center"/>
    </xf>
    <xf numFmtId="10" fontId="36" fillId="0" borderId="13" xfId="2" applyNumberFormat="1" applyFont="1" applyBorder="1" applyAlignment="1">
      <alignment horizontal="center" vertical="center"/>
    </xf>
    <xf numFmtId="0" fontId="39" fillId="0" borderId="7" xfId="0" applyFont="1" applyBorder="1"/>
    <xf numFmtId="0" fontId="39" fillId="0" borderId="13" xfId="0" applyFont="1" applyBorder="1"/>
    <xf numFmtId="0" fontId="26" fillId="0" borderId="16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6" fillId="0" borderId="16" xfId="0" applyFont="1" applyBorder="1" applyAlignment="1">
      <alignment horizontal="right"/>
    </xf>
    <xf numFmtId="2" fontId="36" fillId="0" borderId="16" xfId="0" applyNumberFormat="1" applyFont="1" applyBorder="1" applyAlignment="1">
      <alignment horizontal="center"/>
    </xf>
    <xf numFmtId="43" fontId="36" fillId="0" borderId="0" xfId="1" applyFont="1" applyBorder="1" applyAlignment="1">
      <alignment horizontal="center" vertical="center"/>
    </xf>
    <xf numFmtId="43" fontId="36" fillId="0" borderId="0" xfId="1" applyFont="1" applyBorder="1" applyAlignment="1">
      <alignment vertical="center"/>
    </xf>
    <xf numFmtId="10" fontId="36" fillId="0" borderId="0" xfId="2" applyNumberFormat="1" applyFont="1" applyBorder="1" applyAlignment="1">
      <alignment vertical="center"/>
    </xf>
    <xf numFmtId="10" fontId="0" fillId="0" borderId="0" xfId="2" applyNumberFormat="1" applyFont="1"/>
    <xf numFmtId="10" fontId="36" fillId="0" borderId="0" xfId="2" applyNumberFormat="1" applyFont="1" applyFill="1" applyBorder="1" applyAlignment="1">
      <alignment horizontal="center" vertical="center"/>
    </xf>
    <xf numFmtId="0" fontId="36" fillId="0" borderId="30" xfId="0" applyFont="1" applyBorder="1"/>
    <xf numFmtId="0" fontId="36" fillId="0" borderId="21" xfId="0" applyFont="1" applyBorder="1"/>
    <xf numFmtId="0" fontId="36" fillId="0" borderId="23" xfId="0" applyFont="1" applyBorder="1"/>
    <xf numFmtId="0" fontId="21" fillId="0" borderId="24" xfId="0" applyFont="1" applyBorder="1"/>
    <xf numFmtId="10" fontId="30" fillId="0" borderId="3" xfId="2" applyNumberFormat="1" applyFont="1" applyBorder="1" applyAlignment="1">
      <alignment horizontal="center" vertical="center"/>
    </xf>
    <xf numFmtId="164" fontId="23" fillId="0" borderId="0" xfId="1" applyNumberFormat="1" applyFont="1" applyFill="1" applyAlignment="1">
      <alignment horizontal="center"/>
    </xf>
    <xf numFmtId="164" fontId="23" fillId="0" borderId="0" xfId="1" applyNumberFormat="1" applyFont="1" applyFill="1" applyAlignment="1"/>
    <xf numFmtId="2" fontId="26" fillId="0" borderId="16" xfId="0" applyNumberFormat="1" applyFont="1" applyBorder="1" applyAlignment="1">
      <alignment horizontal="center" vertical="center"/>
    </xf>
    <xf numFmtId="10" fontId="26" fillId="0" borderId="16" xfId="2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right" vertical="center"/>
    </xf>
    <xf numFmtId="0" fontId="32" fillId="0" borderId="17" xfId="0" applyFont="1" applyBorder="1" applyAlignment="1">
      <alignment horizontal="center"/>
    </xf>
    <xf numFmtId="0" fontId="23" fillId="0" borderId="2" xfId="0" quotePrefix="1" applyFont="1" applyBorder="1" applyAlignment="1">
      <alignment horizontal="center"/>
    </xf>
    <xf numFmtId="0" fontId="6" fillId="0" borderId="0" xfId="0" applyFont="1"/>
    <xf numFmtId="0" fontId="53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54" fillId="0" borderId="0" xfId="0" applyFont="1"/>
    <xf numFmtId="0" fontId="39" fillId="0" borderId="0" xfId="0" applyFont="1" applyAlignment="1">
      <alignment horizontal="right"/>
    </xf>
    <xf numFmtId="0" fontId="39" fillId="0" borderId="2" xfId="0" applyFont="1" applyBorder="1" applyAlignment="1">
      <alignment horizontal="center"/>
    </xf>
    <xf numFmtId="0" fontId="52" fillId="0" borderId="0" xfId="0" applyFont="1"/>
    <xf numFmtId="10" fontId="30" fillId="0" borderId="10" xfId="2" applyNumberFormat="1" applyFont="1" applyFill="1" applyBorder="1" applyAlignment="1">
      <alignment horizontal="center" vertical="center"/>
    </xf>
    <xf numFmtId="168" fontId="40" fillId="0" borderId="16" xfId="1" applyNumberFormat="1" applyFont="1" applyFill="1" applyBorder="1"/>
    <xf numFmtId="15" fontId="36" fillId="0" borderId="24" xfId="0" applyNumberFormat="1" applyFont="1" applyBorder="1" applyAlignment="1">
      <alignment horizontal="center"/>
    </xf>
    <xf numFmtId="15" fontId="36" fillId="0" borderId="12" xfId="0" applyNumberFormat="1" applyFont="1" applyBorder="1" applyAlignment="1">
      <alignment horizontal="center"/>
    </xf>
    <xf numFmtId="15" fontId="36" fillId="0" borderId="13" xfId="0" applyNumberFormat="1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51" fillId="0" borderId="0" xfId="0" applyFont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0" fillId="0" borderId="1" xfId="0" applyBorder="1"/>
    <xf numFmtId="0" fontId="36" fillId="0" borderId="1" xfId="0" applyFont="1" applyBorder="1" applyAlignment="1">
      <alignment horizontal="center"/>
    </xf>
    <xf numFmtId="10" fontId="40" fillId="0" borderId="1" xfId="2" applyNumberFormat="1" applyFont="1" applyFill="1" applyBorder="1" applyAlignment="1">
      <alignment horizontal="center"/>
    </xf>
    <xf numFmtId="43" fontId="40" fillId="0" borderId="1" xfId="1" applyFont="1" applyFill="1" applyBorder="1" applyAlignment="1">
      <alignment horizontal="center"/>
    </xf>
    <xf numFmtId="43" fontId="40" fillId="0" borderId="0" xfId="1" applyFont="1" applyAlignment="1">
      <alignment horizontal="center"/>
    </xf>
    <xf numFmtId="43" fontId="40" fillId="0" borderId="0" xfId="1" applyFont="1" applyFill="1" applyAlignment="1">
      <alignment horizontal="center"/>
    </xf>
    <xf numFmtId="0" fontId="51" fillId="0" borderId="0" xfId="0" applyFont="1" applyAlignment="1">
      <alignment horizontal="right"/>
    </xf>
    <xf numFmtId="2" fontId="51" fillId="0" borderId="0" xfId="0" applyNumberFormat="1" applyFont="1"/>
    <xf numFmtId="0" fontId="36" fillId="0" borderId="5" xfId="0" applyFont="1" applyBorder="1" applyAlignment="1">
      <alignment horizontal="center"/>
    </xf>
    <xf numFmtId="0" fontId="36" fillId="0" borderId="24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164" fontId="40" fillId="0" borderId="10" xfId="1" applyNumberFormat="1" applyFont="1" applyFill="1" applyBorder="1" applyAlignment="1">
      <alignment horizontal="center"/>
    </xf>
    <xf numFmtId="164" fontId="40" fillId="0" borderId="3" xfId="1" applyNumberFormat="1" applyFont="1" applyFill="1" applyBorder="1" applyAlignment="1">
      <alignment horizontal="center"/>
    </xf>
    <xf numFmtId="164" fontId="40" fillId="0" borderId="13" xfId="1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10" fontId="40" fillId="0" borderId="0" xfId="2" applyNumberFormat="1" applyFont="1" applyFill="1" applyBorder="1" applyAlignment="1">
      <alignment horizontal="center"/>
    </xf>
    <xf numFmtId="10" fontId="40" fillId="0" borderId="0" xfId="2" applyNumberFormat="1" applyFont="1" applyBorder="1" applyAlignment="1">
      <alignment horizontal="center" vertical="center"/>
    </xf>
    <xf numFmtId="10" fontId="30" fillId="0" borderId="3" xfId="2" applyNumberFormat="1" applyFont="1" applyFill="1" applyBorder="1" applyAlignment="1">
      <alignment horizontal="center" vertical="center"/>
    </xf>
    <xf numFmtId="0" fontId="30" fillId="0" borderId="32" xfId="0" applyFont="1" applyBorder="1"/>
    <xf numFmtId="0" fontId="21" fillId="0" borderId="33" xfId="0" applyFont="1" applyBorder="1"/>
    <xf numFmtId="0" fontId="36" fillId="0" borderId="32" xfId="0" applyFont="1" applyBorder="1"/>
    <xf numFmtId="0" fontId="36" fillId="0" borderId="34" xfId="0" applyFont="1" applyBorder="1"/>
    <xf numFmtId="0" fontId="40" fillId="3" borderId="20" xfId="0" applyFont="1" applyFill="1" applyBorder="1"/>
    <xf numFmtId="0" fontId="36" fillId="0" borderId="32" xfId="0" applyFont="1" applyBorder="1" applyAlignment="1">
      <alignment horizontal="right"/>
    </xf>
    <xf numFmtId="43" fontId="36" fillId="0" borderId="0" xfId="0" applyNumberFormat="1" applyFont="1"/>
    <xf numFmtId="0" fontId="37" fillId="0" borderId="35" xfId="0" applyFont="1" applyBorder="1" applyAlignment="1">
      <alignment horizontal="center"/>
    </xf>
    <xf numFmtId="0" fontId="37" fillId="0" borderId="36" xfId="0" applyFont="1" applyBorder="1" applyAlignment="1">
      <alignment horizontal="center"/>
    </xf>
    <xf numFmtId="0" fontId="37" fillId="0" borderId="37" xfId="0" applyFont="1" applyBorder="1" applyAlignment="1">
      <alignment horizontal="center"/>
    </xf>
    <xf numFmtId="0" fontId="57" fillId="0" borderId="0" xfId="0" applyFont="1" applyAlignment="1">
      <alignment horizontal="left" vertical="top" wrapText="1"/>
    </xf>
    <xf numFmtId="0" fontId="30" fillId="0" borderId="28" xfId="0" applyFont="1" applyBorder="1" applyAlignment="1">
      <alignment horizontal="center"/>
    </xf>
    <xf numFmtId="0" fontId="39" fillId="3" borderId="26" xfId="0" applyFont="1" applyFill="1" applyBorder="1" applyAlignment="1">
      <alignment horizontal="center"/>
    </xf>
    <xf numFmtId="0" fontId="21" fillId="3" borderId="26" xfId="0" applyFont="1" applyFill="1" applyBorder="1" applyAlignment="1">
      <alignment horizontal="center"/>
    </xf>
    <xf numFmtId="0" fontId="39" fillId="3" borderId="27" xfId="0" applyFont="1" applyFill="1" applyBorder="1" applyAlignment="1">
      <alignment horizontal="center"/>
    </xf>
    <xf numFmtId="0" fontId="21" fillId="3" borderId="27" xfId="0" applyFont="1" applyFill="1" applyBorder="1" applyAlignment="1">
      <alignment horizontal="center"/>
    </xf>
    <xf numFmtId="0" fontId="21" fillId="3" borderId="29" xfId="0" applyFont="1" applyFill="1" applyBorder="1" applyAlignment="1">
      <alignment horizontal="center"/>
    </xf>
    <xf numFmtId="0" fontId="39" fillId="3" borderId="25" xfId="0" applyFont="1" applyFill="1" applyBorder="1" applyAlignment="1">
      <alignment horizontal="center"/>
    </xf>
    <xf numFmtId="0" fontId="21" fillId="3" borderId="30" xfId="0" applyFont="1" applyFill="1" applyBorder="1" applyAlignment="1">
      <alignment horizontal="center"/>
    </xf>
    <xf numFmtId="0" fontId="21" fillId="3" borderId="21" xfId="0" applyFont="1" applyFill="1" applyBorder="1" applyAlignment="1">
      <alignment horizontal="center"/>
    </xf>
    <xf numFmtId="0" fontId="21" fillId="3" borderId="23" xfId="0" applyFont="1" applyFill="1" applyBorder="1" applyAlignment="1">
      <alignment horizontal="center"/>
    </xf>
    <xf numFmtId="164" fontId="24" fillId="0" borderId="0" xfId="1" applyNumberFormat="1" applyFont="1" applyFill="1" applyAlignment="1">
      <alignment horizontal="center"/>
    </xf>
    <xf numFmtId="0" fontId="0" fillId="0" borderId="4" xfId="0" applyBorder="1"/>
    <xf numFmtId="0" fontId="0" fillId="0" borderId="33" xfId="0" applyBorder="1"/>
    <xf numFmtId="0" fontId="23" fillId="0" borderId="1" xfId="0" applyFont="1" applyBorder="1" applyAlignment="1">
      <alignment horizontal="right"/>
    </xf>
    <xf numFmtId="164" fontId="24" fillId="0" borderId="1" xfId="1" applyNumberFormat="1" applyFont="1" applyFill="1" applyBorder="1" applyAlignment="1">
      <alignment horizontal="center"/>
    </xf>
    <xf numFmtId="10" fontId="24" fillId="0" borderId="1" xfId="2" applyNumberFormat="1" applyFont="1" applyFill="1" applyBorder="1" applyAlignment="1">
      <alignment horizontal="center" vertical="center"/>
    </xf>
    <xf numFmtId="1" fontId="24" fillId="0" borderId="0" xfId="0" applyNumberFormat="1" applyFont="1" applyAlignment="1">
      <alignment horizontal="center"/>
    </xf>
    <xf numFmtId="44" fontId="24" fillId="0" borderId="0" xfId="3" applyFont="1" applyFill="1" applyAlignment="1">
      <alignment horizontal="center"/>
    </xf>
    <xf numFmtId="10" fontId="24" fillId="0" borderId="0" xfId="2" applyNumberFormat="1" applyFont="1" applyFill="1" applyAlignment="1">
      <alignment horizontal="right" vertical="center"/>
    </xf>
    <xf numFmtId="10" fontId="24" fillId="0" borderId="1" xfId="2" applyNumberFormat="1" applyFont="1" applyFill="1" applyBorder="1" applyAlignment="1">
      <alignment horizontal="right" vertical="center"/>
    </xf>
    <xf numFmtId="43" fontId="24" fillId="0" borderId="0" xfId="1" applyFont="1" applyFill="1" applyAlignment="1">
      <alignment horizontal="center" vertical="center"/>
    </xf>
    <xf numFmtId="43" fontId="26" fillId="0" borderId="16" xfId="1" applyFont="1" applyFill="1" applyBorder="1" applyAlignment="1">
      <alignment horizontal="center" vertical="center"/>
    </xf>
    <xf numFmtId="43" fontId="24" fillId="0" borderId="1" xfId="1" applyFont="1" applyFill="1" applyBorder="1" applyAlignment="1">
      <alignment horizontal="right" vertical="center"/>
    </xf>
    <xf numFmtId="3" fontId="40" fillId="0" borderId="10" xfId="0" applyNumberFormat="1" applyFont="1" applyBorder="1"/>
    <xf numFmtId="165" fontId="24" fillId="0" borderId="0" xfId="3" applyNumberFormat="1" applyFont="1" applyFill="1" applyAlignment="1">
      <alignment horizontal="right"/>
    </xf>
    <xf numFmtId="3" fontId="40" fillId="0" borderId="3" xfId="0" applyNumberFormat="1" applyFont="1" applyBorder="1"/>
    <xf numFmtId="169" fontId="21" fillId="0" borderId="0" xfId="0" applyNumberFormat="1" applyFont="1"/>
    <xf numFmtId="3" fontId="40" fillId="0" borderId="0" xfId="0" applyNumberFormat="1" applyFont="1"/>
    <xf numFmtId="0" fontId="40" fillId="0" borderId="0" xfId="0" applyFont="1" applyAlignment="1">
      <alignment horizontal="left" vertical="center"/>
    </xf>
    <xf numFmtId="2" fontId="24" fillId="0" borderId="0" xfId="0" applyNumberFormat="1" applyFont="1" applyAlignment="1">
      <alignment horizontal="right" vertical="center"/>
    </xf>
    <xf numFmtId="164" fontId="40" fillId="0" borderId="2" xfId="1" applyNumberFormat="1" applyFont="1" applyFill="1" applyBorder="1"/>
    <xf numFmtId="0" fontId="36" fillId="0" borderId="1" xfId="0" applyFont="1" applyBorder="1" applyAlignment="1">
      <alignment horizontal="right"/>
    </xf>
    <xf numFmtId="10" fontId="36" fillId="0" borderId="1" xfId="2" applyNumberFormat="1" applyFont="1" applyBorder="1"/>
    <xf numFmtId="2" fontId="24" fillId="0" borderId="1" xfId="0" applyNumberFormat="1" applyFont="1" applyBorder="1" applyAlignment="1">
      <alignment horizontal="right" vertical="center"/>
    </xf>
    <xf numFmtId="10" fontId="30" fillId="0" borderId="0" xfId="2" applyNumberFormat="1" applyFont="1" applyFill="1" applyBorder="1" applyAlignment="1">
      <alignment horizontal="center" vertical="center"/>
    </xf>
    <xf numFmtId="0" fontId="21" fillId="0" borderId="21" xfId="0" applyFont="1" applyBorder="1"/>
    <xf numFmtId="0" fontId="21" fillId="0" borderId="23" xfId="0" applyFont="1" applyBorder="1"/>
    <xf numFmtId="0" fontId="58" fillId="0" borderId="0" xfId="0" applyFont="1"/>
    <xf numFmtId="0" fontId="38" fillId="0" borderId="28" xfId="0" applyFont="1" applyBorder="1"/>
    <xf numFmtId="10" fontId="38" fillId="0" borderId="28" xfId="2" applyNumberFormat="1" applyFont="1" applyFill="1" applyBorder="1"/>
    <xf numFmtId="2" fontId="38" fillId="0" borderId="28" xfId="0" applyNumberFormat="1" applyFont="1" applyBorder="1"/>
    <xf numFmtId="2" fontId="26" fillId="0" borderId="0" xfId="0" applyNumberFormat="1" applyFont="1" applyAlignment="1">
      <alignment horizontal="center"/>
    </xf>
    <xf numFmtId="10" fontId="26" fillId="0" borderId="0" xfId="2" applyNumberFormat="1" applyFont="1" applyFill="1" applyBorder="1" applyAlignment="1">
      <alignment horizontal="center"/>
    </xf>
    <xf numFmtId="3" fontId="36" fillId="0" borderId="10" xfId="0" applyNumberFormat="1" applyFont="1" applyBorder="1" applyAlignment="1">
      <alignment horizontal="right" vertical="center"/>
    </xf>
    <xf numFmtId="0" fontId="23" fillId="0" borderId="7" xfId="0" applyFont="1" applyBorder="1"/>
    <xf numFmtId="0" fontId="24" fillId="0" borderId="8" xfId="0" applyFont="1" applyBorder="1"/>
    <xf numFmtId="0" fontId="37" fillId="0" borderId="17" xfId="0" applyFont="1" applyBorder="1" applyAlignment="1">
      <alignment horizontal="center"/>
    </xf>
    <xf numFmtId="0" fontId="60" fillId="0" borderId="0" xfId="0" applyFont="1"/>
    <xf numFmtId="0" fontId="22" fillId="0" borderId="20" xfId="0" applyFont="1" applyBorder="1"/>
    <xf numFmtId="0" fontId="15" fillId="0" borderId="0" xfId="0" applyFont="1" applyAlignment="1">
      <alignment horizontal="center"/>
    </xf>
    <xf numFmtId="0" fontId="61" fillId="0" borderId="0" xfId="0" applyFont="1"/>
    <xf numFmtId="164" fontId="47" fillId="0" borderId="0" xfId="1" applyNumberFormat="1" applyFont="1" applyFill="1" applyBorder="1"/>
    <xf numFmtId="43" fontId="24" fillId="0" borderId="1" xfId="1" applyFont="1" applyFill="1" applyBorder="1" applyAlignment="1">
      <alignment horizontal="center" vertical="center"/>
    </xf>
    <xf numFmtId="164" fontId="36" fillId="0" borderId="0" xfId="1" applyNumberFormat="1" applyFont="1"/>
    <xf numFmtId="164" fontId="36" fillId="0" borderId="10" xfId="1" applyNumberFormat="1" applyFont="1" applyFill="1" applyBorder="1"/>
    <xf numFmtId="164" fontId="39" fillId="0" borderId="0" xfId="1" applyNumberFormat="1" applyFont="1"/>
    <xf numFmtId="0" fontId="37" fillId="0" borderId="0" xfId="0" applyFont="1" applyAlignment="1">
      <alignment horizontal="center"/>
    </xf>
    <xf numFmtId="2" fontId="40" fillId="0" borderId="3" xfId="0" applyNumberFormat="1" applyFont="1" applyBorder="1" applyAlignment="1">
      <alignment horizontal="center"/>
    </xf>
    <xf numFmtId="0" fontId="22" fillId="0" borderId="20" xfId="0" applyFont="1" applyBorder="1" applyAlignment="1">
      <alignment horizontal="left"/>
    </xf>
    <xf numFmtId="0" fontId="40" fillId="0" borderId="3" xfId="0" applyFont="1" applyBorder="1" applyAlignment="1">
      <alignment horizontal="center"/>
    </xf>
    <xf numFmtId="2" fontId="24" fillId="0" borderId="0" xfId="0" applyNumberFormat="1" applyFont="1" applyAlignment="1">
      <alignment horizontal="right"/>
    </xf>
    <xf numFmtId="10" fontId="40" fillId="0" borderId="28" xfId="2" applyNumberFormat="1" applyFont="1" applyFill="1" applyBorder="1" applyAlignment="1">
      <alignment horizontal="center"/>
    </xf>
    <xf numFmtId="0" fontId="40" fillId="0" borderId="18" xfId="0" applyFont="1" applyBorder="1"/>
    <xf numFmtId="10" fontId="24" fillId="0" borderId="1" xfId="2" applyNumberFormat="1" applyFont="1" applyBorder="1" applyAlignment="1">
      <alignment horizontal="right" vertical="center"/>
    </xf>
    <xf numFmtId="0" fontId="30" fillId="0" borderId="3" xfId="0" applyFont="1" applyBorder="1" applyAlignment="1">
      <alignment horizontal="center"/>
    </xf>
    <xf numFmtId="0" fontId="40" fillId="3" borderId="22" xfId="0" applyFont="1" applyFill="1" applyBorder="1"/>
    <xf numFmtId="164" fontId="0" fillId="0" borderId="0" xfId="1" applyNumberFormat="1" applyFont="1"/>
    <xf numFmtId="165" fontId="23" fillId="0" borderId="0" xfId="3" applyNumberFormat="1" applyFont="1"/>
    <xf numFmtId="16" fontId="21" fillId="0" borderId="0" xfId="0" applyNumberFormat="1" applyFont="1"/>
    <xf numFmtId="17" fontId="21" fillId="0" borderId="0" xfId="0" applyNumberFormat="1" applyFont="1"/>
    <xf numFmtId="16" fontId="23" fillId="0" borderId="0" xfId="0" applyNumberFormat="1" applyFont="1" applyAlignment="1">
      <alignment horizontal="right"/>
    </xf>
    <xf numFmtId="0" fontId="24" fillId="0" borderId="7" xfId="0" applyFont="1" applyBorder="1"/>
    <xf numFmtId="10" fontId="40" fillId="0" borderId="0" xfId="2" applyNumberFormat="1" applyFont="1" applyFill="1" applyAlignment="1">
      <alignment horizontal="right"/>
    </xf>
    <xf numFmtId="10" fontId="23" fillId="0" borderId="0" xfId="0" applyNumberFormat="1" applyFont="1" applyAlignment="1">
      <alignment horizontal="right"/>
    </xf>
    <xf numFmtId="0" fontId="38" fillId="0" borderId="16" xfId="0" applyFont="1" applyBorder="1" applyAlignment="1">
      <alignment horizontal="center"/>
    </xf>
    <xf numFmtId="10" fontId="26" fillId="0" borderId="16" xfId="2" applyNumberFormat="1" applyFont="1" applyFill="1" applyBorder="1" applyAlignment="1">
      <alignment horizontal="center"/>
    </xf>
    <xf numFmtId="10" fontId="24" fillId="0" borderId="0" xfId="0" applyNumberFormat="1" applyFont="1" applyAlignment="1">
      <alignment horizontal="center"/>
    </xf>
    <xf numFmtId="10" fontId="24" fillId="0" borderId="0" xfId="2" applyNumberFormat="1" applyFont="1" applyAlignment="1">
      <alignment horizontal="right"/>
    </xf>
    <xf numFmtId="10" fontId="24" fillId="0" borderId="4" xfId="2" applyNumberFormat="1" applyFont="1" applyFill="1" applyBorder="1" applyAlignment="1">
      <alignment horizontal="right"/>
    </xf>
    <xf numFmtId="10" fontId="24" fillId="0" borderId="4" xfId="2" applyNumberFormat="1" applyFont="1" applyBorder="1" applyAlignment="1">
      <alignment horizontal="right"/>
    </xf>
    <xf numFmtId="10" fontId="23" fillId="0" borderId="0" xfId="2" applyNumberFormat="1" applyFont="1" applyFill="1" applyAlignment="1">
      <alignment horizontal="right" vertical="center"/>
    </xf>
    <xf numFmtId="10" fontId="23" fillId="0" borderId="0" xfId="2" applyNumberFormat="1" applyFont="1" applyFill="1" applyBorder="1" applyAlignment="1">
      <alignment horizontal="right" vertical="center"/>
    </xf>
    <xf numFmtId="10" fontId="25" fillId="0" borderId="16" xfId="2" applyNumberFormat="1" applyFont="1" applyFill="1" applyBorder="1"/>
    <xf numFmtId="10" fontId="25" fillId="0" borderId="16" xfId="2" applyNumberFormat="1" applyFont="1" applyFill="1" applyBorder="1" applyAlignment="1">
      <alignment horizontal="center"/>
    </xf>
    <xf numFmtId="2" fontId="38" fillId="0" borderId="18" xfId="0" applyNumberFormat="1" applyFont="1" applyBorder="1"/>
    <xf numFmtId="43" fontId="38" fillId="0" borderId="28" xfId="1" applyFont="1" applyFill="1" applyBorder="1"/>
    <xf numFmtId="2" fontId="26" fillId="0" borderId="16" xfId="0" applyNumberFormat="1" applyFont="1" applyBorder="1" applyAlignment="1">
      <alignment horizontal="center"/>
    </xf>
    <xf numFmtId="2" fontId="36" fillId="0" borderId="34" xfId="0" applyNumberFormat="1" applyFont="1" applyBorder="1" applyAlignment="1">
      <alignment horizontal="center"/>
    </xf>
    <xf numFmtId="43" fontId="40" fillId="0" borderId="0" xfId="1" applyFont="1" applyFill="1" applyAlignment="1">
      <alignment horizontal="center" vertical="center"/>
    </xf>
    <xf numFmtId="43" fontId="40" fillId="0" borderId="1" xfId="1" applyFont="1" applyFill="1" applyBorder="1" applyAlignment="1">
      <alignment horizontal="center" vertical="center"/>
    </xf>
    <xf numFmtId="43" fontId="36" fillId="0" borderId="0" xfId="1" applyFont="1" applyFill="1" applyAlignment="1">
      <alignment horizontal="center"/>
    </xf>
    <xf numFmtId="2" fontId="40" fillId="0" borderId="0" xfId="0" applyNumberFormat="1" applyFont="1" applyAlignment="1">
      <alignment horizontal="right"/>
    </xf>
    <xf numFmtId="2" fontId="40" fillId="0" borderId="4" xfId="0" applyNumberFormat="1" applyFont="1" applyBorder="1" applyAlignment="1">
      <alignment horizontal="right"/>
    </xf>
    <xf numFmtId="10" fontId="24" fillId="0" borderId="0" xfId="0" applyNumberFormat="1" applyFont="1" applyAlignment="1">
      <alignment horizontal="right"/>
    </xf>
    <xf numFmtId="164" fontId="36" fillId="0" borderId="0" xfId="1" applyNumberFormat="1" applyFont="1" applyFill="1"/>
    <xf numFmtId="0" fontId="36" fillId="4" borderId="38" xfId="0" applyFont="1" applyFill="1" applyBorder="1"/>
    <xf numFmtId="0" fontId="36" fillId="4" borderId="20" xfId="0" applyFont="1" applyFill="1" applyBorder="1"/>
    <xf numFmtId="0" fontId="40" fillId="4" borderId="20" xfId="0" applyFont="1" applyFill="1" applyBorder="1"/>
    <xf numFmtId="10" fontId="40" fillId="4" borderId="38" xfId="2" applyNumberFormat="1" applyFont="1" applyFill="1" applyBorder="1" applyAlignment="1">
      <alignment horizontal="center"/>
    </xf>
    <xf numFmtId="10" fontId="40" fillId="4" borderId="20" xfId="2" applyNumberFormat="1" applyFont="1" applyFill="1" applyBorder="1" applyAlignment="1">
      <alignment horizontal="center"/>
    </xf>
    <xf numFmtId="0" fontId="21" fillId="0" borderId="20" xfId="0" applyFont="1" applyBorder="1"/>
    <xf numFmtId="10" fontId="21" fillId="0" borderId="20" xfId="2" applyNumberFormat="1" applyFont="1" applyFill="1" applyBorder="1"/>
    <xf numFmtId="10" fontId="21" fillId="0" borderId="20" xfId="0" applyNumberFormat="1" applyFont="1" applyBorder="1"/>
    <xf numFmtId="0" fontId="21" fillId="0" borderId="8" xfId="0" applyFont="1" applyBorder="1"/>
    <xf numFmtId="0" fontId="21" fillId="0" borderId="14" xfId="0" applyFont="1" applyBorder="1"/>
    <xf numFmtId="0" fontId="0" fillId="0" borderId="8" xfId="0" applyBorder="1"/>
    <xf numFmtId="0" fontId="0" fillId="0" borderId="14" xfId="0" applyBorder="1"/>
    <xf numFmtId="0" fontId="36" fillId="4" borderId="26" xfId="0" applyFont="1" applyFill="1" applyBorder="1"/>
    <xf numFmtId="0" fontId="40" fillId="4" borderId="26" xfId="0" applyFont="1" applyFill="1" applyBorder="1"/>
    <xf numFmtId="0" fontId="40" fillId="3" borderId="26" xfId="0" applyFont="1" applyFill="1" applyBorder="1"/>
    <xf numFmtId="10" fontId="40" fillId="3" borderId="20" xfId="2" applyNumberFormat="1" applyFont="1" applyFill="1" applyBorder="1" applyAlignment="1">
      <alignment horizontal="center"/>
    </xf>
    <xf numFmtId="10" fontId="26" fillId="0" borderId="16" xfId="2" applyNumberFormat="1" applyFont="1" applyFill="1" applyBorder="1" applyAlignment="1">
      <alignment horizontal="center" vertical="center"/>
    </xf>
    <xf numFmtId="10" fontId="44" fillId="0" borderId="16" xfId="2" applyNumberFormat="1" applyFont="1" applyFill="1" applyBorder="1" applyAlignment="1">
      <alignment horizontal="center"/>
    </xf>
    <xf numFmtId="10" fontId="26" fillId="0" borderId="16" xfId="2" applyNumberFormat="1" applyFont="1" applyFill="1" applyBorder="1" applyAlignment="1">
      <alignment horizontal="right"/>
    </xf>
    <xf numFmtId="10" fontId="26" fillId="0" borderId="34" xfId="0" applyNumberFormat="1" applyFont="1" applyBorder="1"/>
    <xf numFmtId="0" fontId="0" fillId="0" borderId="20" xfId="0" applyBorder="1"/>
    <xf numFmtId="10" fontId="40" fillId="3" borderId="22" xfId="2" applyNumberFormat="1" applyFont="1" applyFill="1" applyBorder="1" applyAlignment="1">
      <alignment horizontal="center"/>
    </xf>
    <xf numFmtId="10" fontId="24" fillId="0" borderId="0" xfId="1" applyNumberFormat="1" applyFont="1" applyFill="1" applyAlignment="1">
      <alignment horizontal="right" vertical="center"/>
    </xf>
    <xf numFmtId="10" fontId="24" fillId="0" borderId="1" xfId="1" applyNumberFormat="1" applyFont="1" applyFill="1" applyBorder="1" applyAlignment="1">
      <alignment horizontal="right" vertical="center"/>
    </xf>
    <xf numFmtId="0" fontId="49" fillId="0" borderId="0" xfId="6" applyFont="1"/>
    <xf numFmtId="10" fontId="40" fillId="0" borderId="0" xfId="2" applyNumberFormat="1" applyFont="1" applyFill="1" applyBorder="1" applyAlignment="1">
      <alignment horizontal="center" vertical="center"/>
    </xf>
    <xf numFmtId="10" fontId="40" fillId="0" borderId="13" xfId="2" applyNumberFormat="1" applyFont="1" applyFill="1" applyBorder="1" applyAlignment="1">
      <alignment horizontal="center" vertical="center"/>
    </xf>
    <xf numFmtId="43" fontId="40" fillId="0" borderId="0" xfId="1" applyFont="1" applyFill="1" applyBorder="1" applyAlignment="1">
      <alignment horizontal="right" vertical="center"/>
    </xf>
    <xf numFmtId="0" fontId="39" fillId="0" borderId="24" xfId="0" applyFont="1" applyBorder="1"/>
    <xf numFmtId="10" fontId="40" fillId="0" borderId="10" xfId="2" applyNumberFormat="1" applyFont="1" applyFill="1" applyBorder="1"/>
    <xf numFmtId="10" fontId="40" fillId="0" borderId="3" xfId="2" applyNumberFormat="1" applyFont="1" applyFill="1" applyBorder="1"/>
    <xf numFmtId="0" fontId="39" fillId="0" borderId="10" xfId="0" applyFont="1" applyBorder="1"/>
    <xf numFmtId="164" fontId="40" fillId="0" borderId="10" xfId="1" applyNumberFormat="1" applyFont="1" applyFill="1" applyBorder="1"/>
    <xf numFmtId="164" fontId="40" fillId="0" borderId="3" xfId="1" applyNumberFormat="1" applyFont="1" applyFill="1" applyBorder="1"/>
    <xf numFmtId="15" fontId="36" fillId="0" borderId="24" xfId="0" quotePrefix="1" applyNumberFormat="1" applyFont="1" applyBorder="1" applyAlignment="1">
      <alignment horizontal="center"/>
    </xf>
    <xf numFmtId="0" fontId="30" fillId="3" borderId="25" xfId="0" applyFont="1" applyFill="1" applyBorder="1" applyAlignment="1">
      <alignment horizontal="center"/>
    </xf>
    <xf numFmtId="10" fontId="24" fillId="3" borderId="10" xfId="2" applyNumberFormat="1" applyFont="1" applyFill="1" applyBorder="1" applyAlignment="1">
      <alignment horizontal="center"/>
    </xf>
    <xf numFmtId="10" fontId="24" fillId="3" borderId="3" xfId="2" applyNumberFormat="1" applyFont="1" applyFill="1" applyBorder="1" applyAlignment="1">
      <alignment horizontal="center"/>
    </xf>
    <xf numFmtId="10" fontId="24" fillId="3" borderId="3" xfId="1" applyNumberFormat="1" applyFont="1" applyFill="1" applyBorder="1" applyAlignment="1">
      <alignment horizontal="center"/>
    </xf>
    <xf numFmtId="10" fontId="24" fillId="3" borderId="24" xfId="1" applyNumberFormat="1" applyFont="1" applyFill="1" applyBorder="1" applyAlignment="1">
      <alignment horizontal="center"/>
    </xf>
    <xf numFmtId="10" fontId="24" fillId="3" borderId="10" xfId="1" applyNumberFormat="1" applyFont="1" applyFill="1" applyBorder="1" applyAlignment="1">
      <alignment horizontal="center"/>
    </xf>
    <xf numFmtId="0" fontId="21" fillId="3" borderId="39" xfId="0" applyFont="1" applyFill="1" applyBorder="1" applyAlignment="1">
      <alignment horizontal="center"/>
    </xf>
    <xf numFmtId="0" fontId="39" fillId="3" borderId="0" xfId="0" applyFont="1" applyFill="1" applyAlignment="1">
      <alignment horizontal="center"/>
    </xf>
    <xf numFmtId="0" fontId="39" fillId="3" borderId="29" xfId="0" applyFont="1" applyFill="1" applyBorder="1" applyAlignment="1">
      <alignment horizontal="center"/>
    </xf>
    <xf numFmtId="0" fontId="21" fillId="3" borderId="40" xfId="0" applyFont="1" applyFill="1" applyBorder="1" applyAlignment="1">
      <alignment horizontal="center"/>
    </xf>
    <xf numFmtId="0" fontId="39" fillId="3" borderId="20" xfId="0" applyFont="1" applyFill="1" applyBorder="1" applyAlignment="1">
      <alignment horizontal="center"/>
    </xf>
    <xf numFmtId="0" fontId="21" fillId="3" borderId="41" xfId="0" applyFont="1" applyFill="1" applyBorder="1" applyAlignment="1">
      <alignment horizontal="center"/>
    </xf>
    <xf numFmtId="0" fontId="39" fillId="3" borderId="1" xfId="0" applyFont="1" applyFill="1" applyBorder="1" applyAlignment="1">
      <alignment horizontal="center"/>
    </xf>
    <xf numFmtId="0" fontId="39" fillId="3" borderId="22" xfId="0" applyFont="1" applyFill="1" applyBorder="1" applyAlignment="1">
      <alignment horizontal="center"/>
    </xf>
    <xf numFmtId="0" fontId="58" fillId="3" borderId="16" xfId="0" applyFont="1" applyFill="1" applyBorder="1"/>
    <xf numFmtId="43" fontId="51" fillId="0" borderId="0" xfId="1" applyFont="1"/>
    <xf numFmtId="165" fontId="24" fillId="0" borderId="0" xfId="0" applyNumberFormat="1" applyFont="1" applyAlignment="1">
      <alignment horizontal="center" vertical="center"/>
    </xf>
    <xf numFmtId="0" fontId="59" fillId="3" borderId="24" xfId="0" applyFont="1" applyFill="1" applyBorder="1" applyAlignment="1">
      <alignment horizontal="center" vertical="center" wrapText="1"/>
    </xf>
    <xf numFmtId="0" fontId="63" fillId="0" borderId="0" xfId="0" applyFont="1"/>
    <xf numFmtId="0" fontId="64" fillId="0" borderId="0" xfId="0" applyFont="1"/>
    <xf numFmtId="0" fontId="65" fillId="0" borderId="0" xfId="6" applyFont="1"/>
    <xf numFmtId="0" fontId="62" fillId="0" borderId="0" xfId="0" applyFont="1"/>
    <xf numFmtId="0" fontId="48" fillId="5" borderId="25" xfId="0" applyFont="1" applyFill="1" applyBorder="1" applyAlignment="1">
      <alignment horizontal="center"/>
    </xf>
    <xf numFmtId="0" fontId="48" fillId="5" borderId="27" xfId="0" applyFont="1" applyFill="1" applyBorder="1" applyAlignment="1">
      <alignment horizontal="center"/>
    </xf>
    <xf numFmtId="0" fontId="30" fillId="0" borderId="29" xfId="0" applyFont="1" applyBorder="1"/>
    <xf numFmtId="10" fontId="48" fillId="0" borderId="25" xfId="2" applyNumberFormat="1" applyFont="1" applyFill="1" applyBorder="1" applyAlignment="1">
      <alignment horizontal="center"/>
    </xf>
    <xf numFmtId="0" fontId="30" fillId="0" borderId="20" xfId="0" applyFont="1" applyBorder="1"/>
    <xf numFmtId="10" fontId="48" fillId="0" borderId="26" xfId="2" applyNumberFormat="1" applyFont="1" applyFill="1" applyBorder="1" applyAlignment="1">
      <alignment horizontal="center"/>
    </xf>
    <xf numFmtId="0" fontId="30" fillId="0" borderId="22" xfId="0" applyFont="1" applyBorder="1"/>
    <xf numFmtId="10" fontId="48" fillId="0" borderId="27" xfId="2" applyNumberFormat="1" applyFont="1" applyFill="1" applyBorder="1" applyAlignment="1">
      <alignment horizontal="center"/>
    </xf>
    <xf numFmtId="10" fontId="30" fillId="0" borderId="26" xfId="2" applyNumberFormat="1" applyFont="1" applyFill="1" applyBorder="1" applyAlignment="1">
      <alignment horizontal="center"/>
    </xf>
    <xf numFmtId="10" fontId="30" fillId="0" borderId="27" xfId="2" applyNumberFormat="1" applyFont="1" applyFill="1" applyBorder="1" applyAlignment="1">
      <alignment horizontal="center"/>
    </xf>
    <xf numFmtId="10" fontId="48" fillId="0" borderId="26" xfId="2" applyNumberFormat="1" applyFont="1" applyBorder="1" applyAlignment="1">
      <alignment horizontal="center" vertical="center"/>
    </xf>
    <xf numFmtId="10" fontId="48" fillId="0" borderId="27" xfId="2" applyNumberFormat="1" applyFont="1" applyBorder="1" applyAlignment="1">
      <alignment horizontal="center" vertical="center"/>
    </xf>
    <xf numFmtId="10" fontId="30" fillId="0" borderId="25" xfId="2" applyNumberFormat="1" applyFont="1" applyFill="1" applyBorder="1" applyAlignment="1">
      <alignment horizontal="center"/>
    </xf>
    <xf numFmtId="0" fontId="21" fillId="0" borderId="31" xfId="0" applyFont="1" applyBorder="1"/>
    <xf numFmtId="0" fontId="21" fillId="0" borderId="30" xfId="0" applyFont="1" applyBorder="1"/>
    <xf numFmtId="0" fontId="21" fillId="0" borderId="1" xfId="0" applyFont="1" applyBorder="1"/>
    <xf numFmtId="0" fontId="0" fillId="0" borderId="31" xfId="0" applyBorder="1"/>
    <xf numFmtId="0" fontId="64" fillId="0" borderId="0" xfId="0" applyFont="1" applyAlignment="1">
      <alignment vertical="center"/>
    </xf>
    <xf numFmtId="15" fontId="67" fillId="0" borderId="0" xfId="0" quotePrefix="1" applyNumberFormat="1" applyFont="1" applyAlignment="1">
      <alignment horizontal="left"/>
    </xf>
    <xf numFmtId="0" fontId="68" fillId="0" borderId="0" xfId="0" applyFont="1" applyAlignment="1">
      <alignment vertical="center"/>
    </xf>
    <xf numFmtId="0" fontId="69" fillId="0" borderId="0" xfId="6" applyFont="1" applyAlignment="1">
      <alignment vertical="center"/>
    </xf>
    <xf numFmtId="0" fontId="65" fillId="0" borderId="0" xfId="6" applyFont="1" applyAlignment="1">
      <alignment vertical="center"/>
    </xf>
    <xf numFmtId="0" fontId="67" fillId="0" borderId="0" xfId="6" applyFont="1"/>
    <xf numFmtId="17" fontId="68" fillId="0" borderId="0" xfId="0" quotePrefix="1" applyNumberFormat="1" applyFont="1" applyAlignment="1">
      <alignment vertical="center"/>
    </xf>
    <xf numFmtId="0" fontId="70" fillId="0" borderId="0" xfId="6" applyFont="1" applyAlignment="1">
      <alignment vertical="center"/>
    </xf>
    <xf numFmtId="0" fontId="70" fillId="0" borderId="0" xfId="0" applyFont="1"/>
    <xf numFmtId="0" fontId="71" fillId="0" borderId="0" xfId="0" applyFont="1" applyAlignment="1">
      <alignment vertical="center"/>
    </xf>
    <xf numFmtId="0" fontId="5" fillId="0" borderId="0" xfId="0" applyFont="1"/>
    <xf numFmtId="10" fontId="72" fillId="0" borderId="25" xfId="2" applyNumberFormat="1" applyFont="1" applyFill="1" applyBorder="1" applyAlignment="1">
      <alignment horizontal="center"/>
    </xf>
    <xf numFmtId="10" fontId="72" fillId="0" borderId="26" xfId="2" applyNumberFormat="1" applyFont="1" applyFill="1" applyBorder="1" applyAlignment="1">
      <alignment horizontal="center"/>
    </xf>
    <xf numFmtId="10" fontId="72" fillId="0" borderId="27" xfId="2" applyNumberFormat="1" applyFont="1" applyFill="1" applyBorder="1" applyAlignment="1">
      <alignment horizontal="center"/>
    </xf>
    <xf numFmtId="0" fontId="40" fillId="0" borderId="29" xfId="0" applyFont="1" applyBorder="1"/>
    <xf numFmtId="0" fontId="0" fillId="0" borderId="30" xfId="0" applyBorder="1"/>
    <xf numFmtId="0" fontId="40" fillId="0" borderId="20" xfId="0" applyFont="1" applyBorder="1"/>
    <xf numFmtId="0" fontId="0" fillId="0" borderId="21" xfId="0" applyBorder="1"/>
    <xf numFmtId="0" fontId="40" fillId="0" borderId="22" xfId="0" applyFont="1" applyBorder="1"/>
    <xf numFmtId="0" fontId="0" fillId="0" borderId="23" xfId="0" applyBorder="1"/>
    <xf numFmtId="10" fontId="36" fillId="0" borderId="29" xfId="2" applyNumberFormat="1" applyFont="1" applyBorder="1" applyAlignment="1">
      <alignment horizontal="left"/>
    </xf>
    <xf numFmtId="0" fontId="36" fillId="0" borderId="20" xfId="0" applyFont="1" applyBorder="1"/>
    <xf numFmtId="0" fontId="73" fillId="0" borderId="22" xfId="6" applyFont="1" applyBorder="1"/>
    <xf numFmtId="0" fontId="30" fillId="5" borderId="28" xfId="0" applyFont="1" applyFill="1" applyBorder="1" applyAlignment="1">
      <alignment horizontal="center"/>
    </xf>
    <xf numFmtId="0" fontId="0" fillId="0" borderId="29" xfId="0" applyBorder="1"/>
    <xf numFmtId="0" fontId="75" fillId="0" borderId="31" xfId="0" applyFont="1" applyBorder="1" applyAlignment="1">
      <alignment horizontal="right"/>
    </xf>
    <xf numFmtId="0" fontId="0" fillId="0" borderId="25" xfId="0" applyBorder="1"/>
    <xf numFmtId="0" fontId="76" fillId="0" borderId="0" xfId="0" applyFont="1" applyAlignment="1">
      <alignment horizontal="right"/>
    </xf>
    <xf numFmtId="10" fontId="30" fillId="0" borderId="26" xfId="2" applyNumberFormat="1" applyFont="1" applyBorder="1" applyAlignment="1">
      <alignment horizontal="center"/>
    </xf>
    <xf numFmtId="0" fontId="30" fillId="0" borderId="0" xfId="0" applyFont="1" applyAlignment="1">
      <alignment horizontal="right" indent="1"/>
    </xf>
    <xf numFmtId="0" fontId="75" fillId="0" borderId="0" xfId="0" applyFont="1" applyAlignment="1">
      <alignment horizontal="right"/>
    </xf>
    <xf numFmtId="0" fontId="21" fillId="0" borderId="26" xfId="0" applyFont="1" applyBorder="1" applyAlignment="1">
      <alignment horizontal="center"/>
    </xf>
    <xf numFmtId="10" fontId="26" fillId="6" borderId="16" xfId="2" applyNumberFormat="1" applyFont="1" applyFill="1" applyBorder="1" applyAlignment="1">
      <alignment horizontal="center"/>
    </xf>
    <xf numFmtId="0" fontId="75" fillId="0" borderId="0" xfId="0" applyFont="1" applyAlignment="1">
      <alignment horizontal="right" vertical="center"/>
    </xf>
    <xf numFmtId="10" fontId="75" fillId="0" borderId="26" xfId="0" applyNumberFormat="1" applyFont="1" applyBorder="1" applyAlignment="1">
      <alignment horizontal="center"/>
    </xf>
    <xf numFmtId="0" fontId="0" fillId="0" borderId="22" xfId="0" applyBorder="1"/>
    <xf numFmtId="0" fontId="75" fillId="0" borderId="1" xfId="0" applyFont="1" applyBorder="1" applyAlignment="1">
      <alignment horizontal="right" vertical="center"/>
    </xf>
    <xf numFmtId="10" fontId="75" fillId="0" borderId="27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2" fontId="5" fillId="0" borderId="0" xfId="0" applyNumberFormat="1" applyFont="1" applyAlignment="1">
      <alignment horizontal="left"/>
    </xf>
    <xf numFmtId="2" fontId="52" fillId="0" borderId="0" xfId="0" applyNumberFormat="1" applyFont="1" applyAlignment="1">
      <alignment horizontal="left"/>
    </xf>
    <xf numFmtId="10" fontId="66" fillId="0" borderId="0" xfId="2" applyNumberFormat="1" applyFont="1" applyFill="1" applyBorder="1" applyAlignment="1">
      <alignment horizontal="left"/>
    </xf>
    <xf numFmtId="0" fontId="74" fillId="0" borderId="0" xfId="0" applyFont="1" applyAlignment="1">
      <alignment horizontal="left"/>
    </xf>
    <xf numFmtId="10" fontId="44" fillId="6" borderId="16" xfId="2" applyNumberFormat="1" applyFont="1" applyFill="1" applyBorder="1" applyAlignment="1">
      <alignment horizontal="center"/>
    </xf>
    <xf numFmtId="0" fontId="21" fillId="0" borderId="0" xfId="0" applyFont="1" applyAlignment="1">
      <alignment horizontal="right"/>
    </xf>
    <xf numFmtId="0" fontId="78" fillId="0" borderId="0" xfId="0" applyFont="1"/>
    <xf numFmtId="1" fontId="24" fillId="0" borderId="0" xfId="0" applyNumberFormat="1" applyFont="1" applyAlignment="1">
      <alignment horizontal="right"/>
    </xf>
    <xf numFmtId="0" fontId="51" fillId="0" borderId="0" xfId="0" applyFont="1"/>
    <xf numFmtId="0" fontId="20" fillId="0" borderId="0" xfId="6" applyAlignment="1">
      <alignment vertical="center"/>
    </xf>
    <xf numFmtId="0" fontId="30" fillId="5" borderId="18" xfId="0" applyFont="1" applyFill="1" applyBorder="1" applyAlignment="1">
      <alignment horizontal="center"/>
    </xf>
    <xf numFmtId="0" fontId="30" fillId="5" borderId="42" xfId="0" applyFont="1" applyFill="1" applyBorder="1" applyAlignment="1">
      <alignment horizontal="center"/>
    </xf>
    <xf numFmtId="0" fontId="30" fillId="5" borderId="19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80" fillId="0" borderId="0" xfId="0" applyNumberFormat="1" applyFont="1" applyAlignment="1">
      <alignment horizontal="center"/>
    </xf>
    <xf numFmtId="0" fontId="81" fillId="0" borderId="2" xfId="0" applyFont="1" applyBorder="1"/>
    <xf numFmtId="0" fontId="82" fillId="0" borderId="0" xfId="0" applyFont="1"/>
    <xf numFmtId="0" fontId="82" fillId="0" borderId="20" xfId="0" applyFont="1" applyBorder="1"/>
    <xf numFmtId="0" fontId="83" fillId="0" borderId="2" xfId="0" applyFont="1" applyBorder="1"/>
    <xf numFmtId="0" fontId="84" fillId="0" borderId="2" xfId="0" applyFont="1" applyBorder="1"/>
    <xf numFmtId="0" fontId="83" fillId="0" borderId="0" xfId="0" applyFont="1"/>
    <xf numFmtId="0" fontId="84" fillId="0" borderId="0" xfId="0" applyFont="1"/>
    <xf numFmtId="0" fontId="82" fillId="0" borderId="0" xfId="0" applyFont="1" applyAlignment="1">
      <alignment horizontal="left"/>
    </xf>
  </cellXfs>
  <cellStyles count="7">
    <cellStyle name="Comma" xfId="1" builtinId="3"/>
    <cellStyle name="Comma0 - Style5" xfId="4" xr:uid="{1397E544-7A5D-4627-82CA-446E9A855C6D}"/>
    <cellStyle name="Currency" xfId="3" builtinId="4"/>
    <cellStyle name="Hyperlink" xfId="6" builtinId="8"/>
    <cellStyle name="Normal" xfId="0" builtinId="0"/>
    <cellStyle name="Percen - Style2" xfId="5" xr:uid="{A055BC95-278A-4F04-A738-FFE257F1BA8F}"/>
    <cellStyle name="Percent" xfId="2" builtinId="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371475</xdr:colOff>
      <xdr:row>60</xdr:row>
      <xdr:rowOff>66675</xdr:rowOff>
    </xdr:to>
    <xdr:pic>
      <xdr:nvPicPr>
        <xdr:cNvPr id="2" name="Picture 1" descr="Valueline, Page 534, Feb 20, 2026, describing the current state of the Natural Gas Utility industry.">
          <a:extLst>
            <a:ext uri="{FF2B5EF4-FFF2-40B4-BE49-F238E27FC236}">
              <a16:creationId xmlns:a16="http://schemas.microsoft.com/office/drawing/2014/main" id="{248C26A9-04F4-9736-8FC7-3E6A09446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05875" cy="1149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29</xdr:col>
      <xdr:colOff>371475</xdr:colOff>
      <xdr:row>60</xdr:row>
      <xdr:rowOff>66675</xdr:rowOff>
    </xdr:to>
    <xdr:pic>
      <xdr:nvPicPr>
        <xdr:cNvPr id="3" name="Picture 2" descr="Valueline, Page 578, from Feb. 20, 2026, further describing the state of the oil/gas distribution industry.">
          <a:extLst>
            <a:ext uri="{FF2B5EF4-FFF2-40B4-BE49-F238E27FC236}">
              <a16:creationId xmlns:a16="http://schemas.microsoft.com/office/drawing/2014/main" id="{42991AC3-9536-6AEA-AC87-D0B726AF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8905875" cy="1149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Team KY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chmondfed.org/research/national_economy/cfo_survey" TargetMode="External"/><Relationship Id="rId2" Type="http://schemas.openxmlformats.org/officeDocument/2006/relationships/hyperlink" Target="http://pages.stern.nyu.edu/~adamodar/New_Home_Page/datacurrent.html" TargetMode="External"/><Relationship Id="rId1" Type="http://schemas.openxmlformats.org/officeDocument/2006/relationships/hyperlink" Target="https://www.bvresources.com/products/faqs/cost-of-capital-professional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;https:/papers.ssrn.com/sol3/papers.cfm?abstract_id=5260463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bo.gov/system/files/2025-01/60870-Outlook-2025.pdf" TargetMode="External"/><Relationship Id="rId13" Type="http://schemas.openxmlformats.org/officeDocument/2006/relationships/hyperlink" Target="ehttps://pages.stern.nyu.edu/~adamodar/pc/blog/S&amp;P500ValueJan2025.xlsx" TargetMode="External"/><Relationship Id="rId3" Type="http://schemas.openxmlformats.org/officeDocument/2006/relationships/hyperlink" Target="https://www.philadelphiafed.org/surveys-and-data/real-time-data-research/survey-of-professional-forecasters" TargetMode="External"/><Relationship Id="rId7" Type="http://schemas.openxmlformats.org/officeDocument/2006/relationships/hyperlink" Target="https://www.cbo.gov/system/files/2026-01/60870-Outlook-2026.pdf" TargetMode="External"/><Relationship Id="rId12" Type="http://schemas.openxmlformats.org/officeDocument/2006/relationships/hyperlink" Target="http://pages.stern.nyu.edu/~adamodar/" TargetMode="External"/><Relationship Id="rId2" Type="http://schemas.openxmlformats.org/officeDocument/2006/relationships/hyperlink" Target="https://www.philadelphiafed.org/research-and-data/real-time-center/livingston-survey" TargetMode="External"/><Relationship Id="rId1" Type="http://schemas.openxmlformats.org/officeDocument/2006/relationships/hyperlink" Target="http://www.federalreserve.gov/Releases/H15/Current/" TargetMode="External"/><Relationship Id="rId6" Type="http://schemas.openxmlformats.org/officeDocument/2006/relationships/hyperlink" Target="https://www.federalreserve.gov/monetarypolicy/files/fomcprojtabl20241218.pd" TargetMode="External"/><Relationship Id="rId11" Type="http://schemas.openxmlformats.org/officeDocument/2006/relationships/hyperlink" Target="http://pages.stern.nyu.edu/~adamodar/New_Home_Page/valquestions/stablegrowthrate.htm" TargetMode="External"/><Relationship Id="rId5" Type="http://schemas.openxmlformats.org/officeDocument/2006/relationships/hyperlink" Target="http://www.worldbank.org/en/publication/global-economic-prospects" TargetMode="External"/><Relationship Id="rId15" Type="http://schemas.openxmlformats.org/officeDocument/2006/relationships/printerSettings" Target="../printerSettings/printerSettings14.bin"/><Relationship Id="rId10" Type="http://schemas.openxmlformats.org/officeDocument/2006/relationships/hyperlink" Target="https://www.cbo.gov/data/budget-economic-data" TargetMode="External"/><Relationship Id="rId4" Type="http://schemas.openxmlformats.org/officeDocument/2006/relationships/hyperlink" Target="https://tradingeconomics.com/united-states/full-year-gdp-growth" TargetMode="External"/><Relationship Id="rId9" Type="http://schemas.openxmlformats.org/officeDocument/2006/relationships/hyperlink" Target="https://www.cbo.gov/publication/60870" TargetMode="External"/><Relationship Id="rId14" Type="http://schemas.openxmlformats.org/officeDocument/2006/relationships/hyperlink" Target="&#141;https:/home.treasury.gov/resource-center/data-chart-center/interest-rates/TextView?type=daily_treasury_yield_curve&amp;field_tdr_date_value=2026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7"/>
  <sheetViews>
    <sheetView view="pageBreakPreview" zoomScaleNormal="100" zoomScaleSheetLayoutView="100" workbookViewId="0">
      <selection activeCell="E9" sqref="E9"/>
    </sheetView>
  </sheetViews>
  <sheetFormatPr defaultRowHeight="15"/>
  <cols>
    <col min="9" max="9" width="16.42578125" customWidth="1"/>
  </cols>
  <sheetData>
    <row r="1" spans="1:13" ht="18.75">
      <c r="A1" s="476" t="s">
        <v>0</v>
      </c>
      <c r="B1" s="477"/>
      <c r="C1" s="477"/>
      <c r="D1" s="477"/>
      <c r="E1" s="477"/>
      <c r="F1" s="477"/>
      <c r="G1" s="477"/>
      <c r="H1" s="477"/>
      <c r="I1" s="477"/>
    </row>
    <row r="5" spans="1:13" ht="27">
      <c r="E5" s="478" t="s">
        <v>0</v>
      </c>
      <c r="F5" s="479"/>
      <c r="G5" s="479"/>
      <c r="H5" s="479"/>
      <c r="I5" s="479"/>
      <c r="J5" s="479"/>
      <c r="K5" s="479"/>
      <c r="L5" s="479"/>
      <c r="M5" s="479"/>
    </row>
    <row r="7" spans="1:13" ht="27">
      <c r="A7" s="480" t="s">
        <v>31</v>
      </c>
      <c r="B7" s="481"/>
      <c r="C7" s="481"/>
      <c r="D7" s="481"/>
      <c r="E7" s="481"/>
      <c r="F7" s="481"/>
      <c r="G7" s="481"/>
      <c r="H7" s="481"/>
      <c r="I7" s="481"/>
    </row>
    <row r="8" spans="1:13" ht="27">
      <c r="A8" s="6"/>
      <c r="B8" s="7"/>
      <c r="C8" s="7"/>
      <c r="D8" s="7"/>
      <c r="E8" s="6" t="s">
        <v>0</v>
      </c>
      <c r="F8" s="7"/>
      <c r="G8" s="7"/>
      <c r="H8" s="7"/>
      <c r="I8" s="7"/>
      <c r="J8" s="7"/>
      <c r="K8" s="7"/>
      <c r="L8" s="7"/>
      <c r="M8" s="7"/>
    </row>
    <row r="9" spans="1:13" ht="27">
      <c r="C9" s="7"/>
      <c r="E9" s="6" t="s">
        <v>484</v>
      </c>
      <c r="F9" s="7"/>
      <c r="G9" s="7"/>
      <c r="H9" s="7"/>
      <c r="I9" s="7"/>
    </row>
    <row r="15" spans="1:13">
      <c r="A15" s="473" t="s">
        <v>0</v>
      </c>
      <c r="B15" s="474"/>
      <c r="C15" s="474"/>
      <c r="D15" s="474"/>
      <c r="E15" s="474"/>
      <c r="F15" s="474"/>
      <c r="G15" s="474"/>
      <c r="H15" s="474"/>
      <c r="I15" s="474"/>
    </row>
    <row r="16" spans="1:13" ht="33.75">
      <c r="A16" s="471" t="str">
        <f>+'S&amp;D'!A12</f>
        <v>Natural Gas Utility Distribution</v>
      </c>
      <c r="B16" s="472"/>
      <c r="C16" s="472"/>
      <c r="D16" s="472"/>
      <c r="E16" s="472"/>
      <c r="F16" s="472"/>
      <c r="G16" s="472"/>
      <c r="H16" s="472"/>
      <c r="I16" s="472"/>
    </row>
    <row r="17" spans="1:9">
      <c r="A17" s="473" t="s">
        <v>0</v>
      </c>
      <c r="B17" s="474"/>
      <c r="C17" s="474"/>
      <c r="D17" s="474"/>
      <c r="E17" s="474"/>
      <c r="F17" s="474"/>
      <c r="G17" s="474"/>
      <c r="H17" s="474"/>
      <c r="I17" s="474"/>
    </row>
    <row r="18" spans="1:9">
      <c r="A18" s="8"/>
      <c r="B18" s="9"/>
      <c r="C18" s="9"/>
      <c r="D18" s="9"/>
      <c r="E18" s="9"/>
      <c r="F18" s="9"/>
      <c r="G18" s="9"/>
      <c r="H18" s="9"/>
      <c r="I18" s="9"/>
    </row>
    <row r="19" spans="1:9">
      <c r="A19" s="8"/>
      <c r="B19" s="9"/>
      <c r="C19" s="9"/>
      <c r="D19" s="9"/>
      <c r="E19" s="9"/>
      <c r="F19" s="9"/>
      <c r="G19" s="9"/>
      <c r="H19" s="9"/>
      <c r="I19" s="9"/>
    </row>
    <row r="20" spans="1:9">
      <c r="A20" s="8"/>
      <c r="B20" s="9"/>
      <c r="C20" s="9"/>
      <c r="D20" s="9"/>
      <c r="E20" s="9"/>
      <c r="F20" s="9"/>
      <c r="G20" s="9"/>
      <c r="H20" s="9"/>
      <c r="I20" s="9"/>
    </row>
    <row r="21" spans="1:9">
      <c r="A21" s="8"/>
      <c r="B21" s="9"/>
      <c r="C21" s="9"/>
      <c r="D21" s="9"/>
      <c r="E21" s="9"/>
      <c r="F21" s="9"/>
      <c r="G21" s="9"/>
      <c r="H21" s="9"/>
      <c r="I21" s="9"/>
    </row>
    <row r="22" spans="1:9">
      <c r="A22" s="8"/>
      <c r="B22" s="9"/>
      <c r="C22" s="9"/>
      <c r="D22" s="9"/>
      <c r="E22" s="9"/>
      <c r="F22" s="9"/>
      <c r="G22" s="9"/>
      <c r="H22" s="9"/>
      <c r="I22" s="9"/>
    </row>
    <row r="23" spans="1:9">
      <c r="A23" s="8"/>
      <c r="B23" s="9"/>
      <c r="C23" s="9"/>
      <c r="D23" s="9"/>
      <c r="E23" s="9"/>
      <c r="F23" s="9"/>
      <c r="G23" s="9"/>
      <c r="H23" s="9"/>
      <c r="I23" s="9"/>
    </row>
    <row r="24" spans="1:9">
      <c r="A24" s="8"/>
      <c r="B24" s="9"/>
      <c r="C24" s="9"/>
      <c r="D24" s="9"/>
      <c r="E24" s="9"/>
      <c r="F24" s="9"/>
      <c r="G24" s="9"/>
      <c r="H24" s="9"/>
      <c r="I24" s="9"/>
    </row>
    <row r="25" spans="1:9">
      <c r="A25" s="8"/>
      <c r="B25" s="9"/>
      <c r="C25" s="9"/>
      <c r="D25" s="9"/>
      <c r="E25" s="9"/>
      <c r="F25" s="9"/>
      <c r="G25" s="9"/>
      <c r="H25" s="9"/>
      <c r="I25" s="9"/>
    </row>
    <row r="26" spans="1:9">
      <c r="A26" s="8"/>
      <c r="B26" s="9"/>
      <c r="C26" s="9"/>
      <c r="D26" s="9"/>
      <c r="E26" s="9"/>
      <c r="F26" s="9"/>
      <c r="G26" s="9"/>
      <c r="H26" s="9"/>
      <c r="I26" s="9"/>
    </row>
    <row r="27" spans="1:9">
      <c r="A27" s="8"/>
      <c r="B27" s="9"/>
      <c r="C27" s="9"/>
      <c r="D27" s="9"/>
      <c r="E27" s="9"/>
      <c r="F27" s="9"/>
      <c r="G27" s="9"/>
      <c r="H27" s="9"/>
      <c r="I27" s="9"/>
    </row>
    <row r="28" spans="1:9">
      <c r="A28" s="8"/>
      <c r="B28" s="9"/>
      <c r="C28" s="9"/>
      <c r="D28" s="9"/>
      <c r="E28" s="9"/>
      <c r="F28" s="9"/>
      <c r="G28" s="9"/>
      <c r="H28" s="9"/>
      <c r="I28" s="9"/>
    </row>
    <row r="29" spans="1:9">
      <c r="A29" s="473" t="s">
        <v>0</v>
      </c>
      <c r="B29" s="474"/>
      <c r="C29" s="474"/>
      <c r="D29" s="474"/>
      <c r="E29" s="474"/>
      <c r="F29" s="474"/>
      <c r="G29" s="474"/>
      <c r="H29" s="474"/>
      <c r="I29" s="474"/>
    </row>
    <row r="34" spans="1:9">
      <c r="A34" s="475" t="e" vm="1">
        <v>#VALUE!</v>
      </c>
      <c r="B34" s="475"/>
      <c r="C34" s="475"/>
      <c r="D34" s="475"/>
      <c r="E34" s="475"/>
      <c r="F34" s="475"/>
      <c r="G34" s="475"/>
      <c r="H34" s="475"/>
      <c r="I34" s="475"/>
    </row>
    <row r="35" spans="1:9">
      <c r="A35" s="475"/>
      <c r="B35" s="475"/>
      <c r="C35" s="475"/>
      <c r="D35" s="475"/>
      <c r="E35" s="475"/>
      <c r="F35" s="475"/>
      <c r="G35" s="475"/>
      <c r="H35" s="475"/>
      <c r="I35" s="475"/>
    </row>
    <row r="36" spans="1:9">
      <c r="A36" s="475"/>
      <c r="B36" s="475"/>
      <c r="C36" s="475"/>
      <c r="D36" s="475"/>
      <c r="E36" s="475"/>
      <c r="F36" s="475"/>
      <c r="G36" s="475"/>
      <c r="H36" s="475"/>
      <c r="I36" s="475"/>
    </row>
    <row r="37" spans="1:9">
      <c r="A37" s="475"/>
      <c r="B37" s="475"/>
      <c r="C37" s="475"/>
      <c r="D37" s="475"/>
      <c r="E37" s="475"/>
      <c r="F37" s="475"/>
      <c r="G37" s="475"/>
      <c r="H37" s="475"/>
      <c r="I37" s="475"/>
    </row>
  </sheetData>
  <mergeCells count="8">
    <mergeCell ref="A16:I16"/>
    <mergeCell ref="A17:I17"/>
    <mergeCell ref="A29:I29"/>
    <mergeCell ref="A34:I37"/>
    <mergeCell ref="A1:I1"/>
    <mergeCell ref="E5:M5"/>
    <mergeCell ref="A7:I7"/>
    <mergeCell ref="A15:I1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31"/>
  <sheetViews>
    <sheetView view="pageBreakPreview" zoomScale="80" zoomScaleNormal="80" zoomScaleSheetLayoutView="80" workbookViewId="0">
      <selection activeCell="F24" sqref="F24"/>
    </sheetView>
  </sheetViews>
  <sheetFormatPr defaultRowHeight="15"/>
  <cols>
    <col min="1" max="1" width="22.28515625" customWidth="1"/>
    <col min="2" max="2" width="39.7109375" customWidth="1"/>
    <col min="3" max="3" width="16.85546875" customWidth="1"/>
    <col min="4" max="4" width="35.28515625" customWidth="1"/>
    <col min="5" max="5" width="18" customWidth="1"/>
    <col min="6" max="6" width="20.85546875" bestFit="1" customWidth="1"/>
    <col min="7" max="7" width="22" customWidth="1"/>
    <col min="8" max="8" width="23.7109375" customWidth="1"/>
  </cols>
  <sheetData>
    <row r="1" spans="1:11" ht="26.25">
      <c r="A1" s="25" t="s">
        <v>1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17.25">
      <c r="A2" s="26" t="s">
        <v>9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ht="17.25" customHeight="1">
      <c r="A3" s="27" t="s">
        <v>485</v>
      </c>
      <c r="C3" s="13"/>
      <c r="D3" s="13"/>
      <c r="E3" s="13"/>
      <c r="F3" s="13"/>
      <c r="G3" s="13"/>
      <c r="H3" s="13"/>
      <c r="I3" s="13"/>
      <c r="J3" s="13"/>
      <c r="K3" s="13"/>
    </row>
    <row r="4" spans="1:11" ht="17.25" customHeight="1">
      <c r="B4" s="27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>
      <c r="B5" s="142"/>
      <c r="C5" s="13"/>
      <c r="D5" s="13"/>
      <c r="E5" s="13"/>
      <c r="F5" s="13"/>
      <c r="G5" s="13"/>
      <c r="H5" s="13"/>
      <c r="I5" s="13"/>
      <c r="J5" s="13"/>
      <c r="K5" s="13"/>
    </row>
    <row r="6" spans="1:11" ht="17.25" customHeight="1">
      <c r="B6" s="142"/>
      <c r="C6" s="13"/>
      <c r="D6" s="13"/>
      <c r="E6" s="13"/>
      <c r="F6" s="13"/>
      <c r="G6" s="13"/>
      <c r="H6" s="13"/>
      <c r="I6" s="13"/>
      <c r="J6" s="13"/>
      <c r="K6" s="13"/>
    </row>
    <row r="7" spans="1:11" ht="17.25" customHeight="1">
      <c r="B7" s="142"/>
      <c r="C7" s="13"/>
      <c r="D7" s="13"/>
      <c r="E7" s="13"/>
      <c r="F7" s="13"/>
      <c r="G7" s="13"/>
      <c r="H7" s="13"/>
      <c r="I7" s="13"/>
      <c r="J7" s="13"/>
      <c r="K7" s="13"/>
    </row>
    <row r="8" spans="1:11" ht="16.5">
      <c r="B8" s="27"/>
      <c r="C8" s="13"/>
      <c r="D8" s="13"/>
      <c r="E8" s="13"/>
      <c r="F8" s="13"/>
      <c r="G8" s="13"/>
      <c r="H8" s="13"/>
      <c r="I8" s="13"/>
      <c r="J8" s="13"/>
      <c r="K8" s="13"/>
    </row>
    <row r="9" spans="1:11" ht="20.25">
      <c r="B9" s="13"/>
      <c r="C9" s="13"/>
      <c r="D9" s="78" t="s">
        <v>0</v>
      </c>
      <c r="E9" s="13"/>
      <c r="F9" s="13"/>
      <c r="G9" s="13"/>
      <c r="H9" s="13"/>
      <c r="I9" s="13"/>
      <c r="J9" s="13"/>
      <c r="K9" s="13"/>
    </row>
    <row r="10" spans="1:11" ht="20.25">
      <c r="B10" s="13"/>
      <c r="C10" s="13"/>
      <c r="D10" s="78" t="s">
        <v>82</v>
      </c>
      <c r="E10" s="13"/>
      <c r="F10" s="13"/>
      <c r="G10" s="13"/>
      <c r="H10" s="13"/>
      <c r="I10" s="13"/>
      <c r="J10" s="13"/>
      <c r="K10" s="13"/>
    </row>
    <row r="11" spans="1:11" ht="16.5"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6.5"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ht="16.5">
      <c r="B13" s="13"/>
      <c r="C13" s="13"/>
      <c r="D13" s="13"/>
      <c r="E13" s="28"/>
      <c r="F13" s="13"/>
      <c r="G13" s="13"/>
      <c r="H13" s="13"/>
      <c r="I13" s="13"/>
      <c r="J13" s="13"/>
      <c r="K13" s="13"/>
    </row>
    <row r="14" spans="1:11" ht="16.5"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ht="17.25" thickBot="1">
      <c r="B15" s="13"/>
      <c r="C15" s="30"/>
      <c r="D15" s="30"/>
      <c r="E15" s="30"/>
      <c r="F15" s="13"/>
      <c r="G15" s="13"/>
      <c r="H15" s="13"/>
      <c r="I15" s="13"/>
      <c r="J15" s="13"/>
      <c r="K15" s="13"/>
    </row>
    <row r="16" spans="1:11" ht="26.25">
      <c r="B16" s="13"/>
      <c r="C16" s="13"/>
      <c r="D16" s="32" t="str">
        <f>+'S&amp;D'!A12</f>
        <v>Natural Gas Utility Distribution</v>
      </c>
      <c r="E16" s="13"/>
      <c r="F16" s="13"/>
      <c r="G16" s="13"/>
      <c r="H16" s="13"/>
      <c r="I16" s="13"/>
      <c r="J16" s="13"/>
      <c r="K16" s="13"/>
    </row>
    <row r="17" spans="2:11" ht="17.25" thickBot="1">
      <c r="B17" s="13"/>
      <c r="C17" s="30"/>
      <c r="D17" s="37" t="s">
        <v>0</v>
      </c>
      <c r="E17" s="30"/>
      <c r="F17" s="13"/>
      <c r="G17" s="13"/>
      <c r="H17" s="13"/>
      <c r="I17" s="13"/>
      <c r="J17" s="13"/>
      <c r="K17" s="13"/>
    </row>
    <row r="18" spans="2:11" ht="17.25" thickBot="1">
      <c r="B18" s="30"/>
      <c r="C18" s="30"/>
      <c r="D18" s="37" t="s">
        <v>0</v>
      </c>
      <c r="E18" s="30"/>
      <c r="F18" s="30"/>
      <c r="G18" s="30"/>
      <c r="H18" s="13"/>
      <c r="I18" s="13"/>
      <c r="J18" s="13"/>
      <c r="K18" s="13"/>
    </row>
    <row r="19" spans="2:11" ht="16.5">
      <c r="B19" s="35" t="s">
        <v>32</v>
      </c>
      <c r="C19" s="35" t="s">
        <v>33</v>
      </c>
      <c r="D19" s="35" t="s">
        <v>34</v>
      </c>
      <c r="E19" s="35" t="s">
        <v>86</v>
      </c>
      <c r="F19" s="35" t="s">
        <v>34</v>
      </c>
      <c r="G19" s="35" t="s">
        <v>35</v>
      </c>
      <c r="H19" s="13"/>
      <c r="I19" s="13"/>
      <c r="J19" s="13"/>
      <c r="K19" s="13"/>
    </row>
    <row r="20" spans="2:11" ht="17.25" thickBot="1">
      <c r="B20" s="37" t="s">
        <v>33</v>
      </c>
      <c r="C20" s="37" t="s">
        <v>36</v>
      </c>
      <c r="D20" s="37" t="s">
        <v>37</v>
      </c>
      <c r="E20" s="37" t="s">
        <v>23</v>
      </c>
      <c r="F20" s="37" t="s">
        <v>38</v>
      </c>
      <c r="G20" s="37" t="s">
        <v>39</v>
      </c>
      <c r="H20" s="13"/>
      <c r="I20" s="13"/>
      <c r="J20" s="13"/>
      <c r="K20" s="13"/>
    </row>
    <row r="21" spans="2:11" ht="16.5">
      <c r="B21" s="39" t="s">
        <v>0</v>
      </c>
      <c r="C21" s="39" t="s">
        <v>0</v>
      </c>
      <c r="D21" s="39" t="s">
        <v>0</v>
      </c>
      <c r="E21" s="39" t="s">
        <v>0</v>
      </c>
      <c r="F21" s="39" t="s">
        <v>0</v>
      </c>
      <c r="G21" s="39" t="s">
        <v>0</v>
      </c>
      <c r="H21" s="13"/>
      <c r="I21" s="13"/>
      <c r="J21" s="13"/>
      <c r="K21" s="13"/>
    </row>
    <row r="22" spans="2:11" ht="16.5">
      <c r="B22" s="35"/>
      <c r="C22" s="35"/>
      <c r="D22" s="35"/>
      <c r="E22" s="35"/>
      <c r="F22" s="35"/>
      <c r="G22" s="35"/>
      <c r="H22" s="13"/>
      <c r="I22" s="13"/>
      <c r="J22" s="13"/>
      <c r="K22" s="13"/>
    </row>
    <row r="23" spans="2:11" ht="17.25">
      <c r="B23" s="90" t="s">
        <v>40</v>
      </c>
      <c r="C23" s="135">
        <f>'S&amp;D'!I58</f>
        <v>0.57999999999999996</v>
      </c>
      <c r="D23" s="135">
        <f>+'Indicated Yield Equity Rates'!D51</f>
        <v>9.0700000000000003E-2</v>
      </c>
      <c r="E23" s="106"/>
      <c r="F23" s="135">
        <f>+D23</f>
        <v>9.0700000000000003E-2</v>
      </c>
      <c r="G23" s="136">
        <f>+F23*C23</f>
        <v>5.2606E-2</v>
      </c>
      <c r="H23" s="13"/>
      <c r="I23" s="13"/>
      <c r="J23" s="13"/>
      <c r="K23" s="13"/>
    </row>
    <row r="24" spans="2:11" ht="17.25">
      <c r="B24" s="90" t="s">
        <v>0</v>
      </c>
      <c r="C24" s="106" t="s">
        <v>0</v>
      </c>
      <c r="D24" s="106" t="s">
        <v>0</v>
      </c>
      <c r="E24" s="106" t="s">
        <v>0</v>
      </c>
      <c r="F24" s="482" t="s">
        <v>0</v>
      </c>
      <c r="G24" s="124" t="s">
        <v>0</v>
      </c>
      <c r="H24" s="13"/>
      <c r="I24" s="13"/>
      <c r="J24" s="13"/>
      <c r="K24" s="13"/>
    </row>
    <row r="25" spans="2:11" ht="17.25">
      <c r="B25" s="90" t="s">
        <v>42</v>
      </c>
      <c r="C25" s="135">
        <f>'S&amp;D'!J58</f>
        <v>0.42</v>
      </c>
      <c r="D25" s="135">
        <f>+Debt!J33</f>
        <v>5.8400000000000001E-2</v>
      </c>
      <c r="E25" s="135">
        <v>0.26</v>
      </c>
      <c r="F25" s="135">
        <f>+D25*(1-E25)</f>
        <v>4.3215999999999997E-2</v>
      </c>
      <c r="G25" s="136">
        <f>+C25*F25</f>
        <v>1.8150719999999999E-2</v>
      </c>
      <c r="H25" s="13"/>
      <c r="I25" s="13"/>
      <c r="J25" s="13"/>
      <c r="K25" s="13"/>
    </row>
    <row r="26" spans="2:11" ht="18" thickBot="1">
      <c r="B26" s="99" t="s">
        <v>0</v>
      </c>
      <c r="C26" s="99" t="s">
        <v>0</v>
      </c>
      <c r="D26" s="99" t="s">
        <v>0</v>
      </c>
      <c r="E26" s="99" t="s">
        <v>0</v>
      </c>
      <c r="F26" s="137" t="s">
        <v>0</v>
      </c>
      <c r="G26" s="138" t="s">
        <v>0</v>
      </c>
      <c r="H26" s="13"/>
      <c r="I26" s="13"/>
      <c r="J26" s="13"/>
      <c r="K26" s="13"/>
    </row>
    <row r="27" spans="2:11" ht="17.25">
      <c r="B27" s="90" t="s">
        <v>89</v>
      </c>
      <c r="C27" s="139">
        <f>+C23+C25</f>
        <v>1</v>
      </c>
      <c r="D27" s="90" t="s">
        <v>0</v>
      </c>
      <c r="E27" s="90" t="s">
        <v>0</v>
      </c>
      <c r="F27" s="140" t="s">
        <v>0</v>
      </c>
      <c r="G27" s="136">
        <f>+G23+G25</f>
        <v>7.0756719999999995E-2</v>
      </c>
      <c r="H27" s="13"/>
      <c r="I27" s="13"/>
      <c r="J27" s="13"/>
      <c r="K27" s="13"/>
    </row>
    <row r="28" spans="2:11" ht="18" thickBot="1">
      <c r="B28" s="63"/>
      <c r="C28" s="63"/>
      <c r="D28" s="63"/>
      <c r="E28" s="63"/>
      <c r="F28" s="63"/>
      <c r="G28" s="141"/>
      <c r="H28" s="13"/>
      <c r="I28" s="13"/>
      <c r="J28" s="13"/>
      <c r="K28" s="13"/>
    </row>
    <row r="29" spans="2:11" ht="18" thickBot="1">
      <c r="B29" s="13"/>
      <c r="C29" s="13"/>
      <c r="D29" s="13"/>
      <c r="E29" s="13"/>
      <c r="F29" s="185" t="s">
        <v>92</v>
      </c>
      <c r="G29" s="170">
        <v>7.0800000000000002E-2</v>
      </c>
      <c r="H29" s="13"/>
      <c r="I29" s="13"/>
      <c r="J29" s="13"/>
      <c r="K29" s="13"/>
    </row>
    <row r="30" spans="2:11" ht="16.5"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2:11" ht="16.5">
      <c r="B31" s="13"/>
      <c r="C31" s="13"/>
      <c r="D31" s="13"/>
      <c r="E31" s="13"/>
      <c r="F31" s="13"/>
      <c r="G31" s="13"/>
      <c r="H31" s="13"/>
      <c r="I31" s="13"/>
      <c r="J31" s="13"/>
      <c r="K31" s="13"/>
    </row>
  </sheetData>
  <pageMargins left="0.25" right="0.25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631F-B284-4F75-B05C-C409AB53D71E}">
  <sheetPr>
    <tabColor rgb="FF92D050"/>
    <pageSetUpPr fitToPage="1"/>
  </sheetPr>
  <dimension ref="A1:K64"/>
  <sheetViews>
    <sheetView view="pageBreakPreview" topLeftCell="A44" zoomScale="80" zoomScaleNormal="80" zoomScaleSheetLayoutView="80" workbookViewId="0">
      <selection activeCell="F57" activeCellId="1" sqref="F24 F57"/>
    </sheetView>
  </sheetViews>
  <sheetFormatPr defaultRowHeight="15"/>
  <cols>
    <col min="1" max="1" width="17.28515625" customWidth="1"/>
    <col min="2" max="2" width="31.7109375" customWidth="1"/>
    <col min="3" max="3" width="16.5703125" customWidth="1"/>
    <col min="4" max="4" width="35.28515625" customWidth="1"/>
    <col min="5" max="5" width="14.85546875" customWidth="1"/>
    <col min="6" max="6" width="25.85546875" customWidth="1"/>
    <col min="7" max="7" width="24.140625" customWidth="1"/>
    <col min="8" max="8" width="17.7109375" customWidth="1"/>
  </cols>
  <sheetData>
    <row r="1" spans="1:11" ht="26.25">
      <c r="A1" s="25" t="s">
        <v>1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17.25">
      <c r="A2" s="26" t="s">
        <v>9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ht="16.5">
      <c r="A3" s="27" t="s">
        <v>485</v>
      </c>
      <c r="C3" s="13"/>
      <c r="D3" s="13"/>
      <c r="E3" s="13"/>
      <c r="F3" s="13"/>
      <c r="G3" s="13"/>
      <c r="H3" s="13"/>
      <c r="I3" s="13"/>
      <c r="J3" s="13"/>
      <c r="K3" s="13"/>
    </row>
    <row r="4" spans="1:11" ht="16.5">
      <c r="B4" s="27"/>
      <c r="C4" s="13"/>
      <c r="D4" s="13"/>
      <c r="E4" s="13"/>
      <c r="F4" s="13"/>
      <c r="G4" s="13"/>
      <c r="H4" s="13"/>
      <c r="I4" s="13"/>
      <c r="J4" s="13"/>
      <c r="K4" s="13"/>
    </row>
    <row r="5" spans="1:11" ht="16.5">
      <c r="B5" s="27"/>
      <c r="C5" s="13"/>
      <c r="D5" s="13"/>
      <c r="E5" s="13"/>
      <c r="F5" s="13"/>
      <c r="G5" s="13"/>
      <c r="H5" s="13"/>
      <c r="I5" s="13"/>
      <c r="J5" s="13"/>
      <c r="K5" s="13"/>
    </row>
    <row r="6" spans="1:11" ht="16.5">
      <c r="B6" s="27"/>
      <c r="C6" s="13"/>
      <c r="D6" s="13"/>
      <c r="E6" s="13"/>
      <c r="F6" s="13"/>
      <c r="G6" s="13"/>
      <c r="H6" s="13"/>
      <c r="I6" s="13"/>
      <c r="J6" s="13"/>
      <c r="K6" s="13"/>
    </row>
    <row r="7" spans="1:11" ht="16.5">
      <c r="B7" s="27"/>
      <c r="C7" s="13"/>
      <c r="D7" s="13"/>
      <c r="E7" s="13"/>
      <c r="F7" s="13"/>
      <c r="G7" s="13"/>
      <c r="H7" s="13"/>
      <c r="I7" s="13"/>
      <c r="J7" s="13"/>
      <c r="K7" s="13"/>
    </row>
    <row r="8" spans="1:11" ht="16.5">
      <c r="B8" s="27"/>
      <c r="C8" s="13"/>
      <c r="D8" s="13"/>
      <c r="E8" s="13"/>
      <c r="F8" s="13"/>
      <c r="G8" s="13"/>
      <c r="H8" s="13"/>
      <c r="I8" s="13"/>
      <c r="J8" s="13"/>
      <c r="K8" s="13"/>
    </row>
    <row r="9" spans="1:11" ht="16.5">
      <c r="B9" s="27"/>
      <c r="C9" s="13"/>
      <c r="D9" s="13"/>
      <c r="E9" s="13"/>
      <c r="F9" s="13"/>
      <c r="G9" s="13"/>
      <c r="H9" s="13"/>
      <c r="I9" s="13"/>
      <c r="J9" s="13"/>
      <c r="K9" s="13"/>
    </row>
    <row r="10" spans="1:11" ht="20.25">
      <c r="B10" s="13"/>
      <c r="C10" s="13"/>
      <c r="D10" s="78" t="s">
        <v>0</v>
      </c>
      <c r="E10" s="13"/>
      <c r="F10" s="13"/>
      <c r="G10" s="13"/>
      <c r="H10" s="13"/>
      <c r="I10" s="13"/>
      <c r="J10" s="13"/>
      <c r="K10" s="13"/>
    </row>
    <row r="11" spans="1:11" ht="20.25">
      <c r="B11" s="13"/>
      <c r="C11" s="13"/>
      <c r="D11" s="78" t="s">
        <v>81</v>
      </c>
      <c r="E11" s="13"/>
      <c r="F11" s="13"/>
      <c r="G11" s="13"/>
      <c r="H11" s="13"/>
      <c r="I11" s="13"/>
      <c r="J11" s="13"/>
      <c r="K11" s="13"/>
    </row>
    <row r="12" spans="1:11" ht="16.5"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ht="16.5"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17.25" thickBot="1">
      <c r="B14" s="13"/>
      <c r="C14" s="30"/>
      <c r="D14" s="30"/>
      <c r="E14" s="30"/>
      <c r="F14" s="13"/>
      <c r="G14" s="13"/>
      <c r="H14" s="13"/>
      <c r="I14" s="13"/>
      <c r="J14" s="13"/>
      <c r="K14" s="13"/>
    </row>
    <row r="15" spans="1:11" ht="26.25">
      <c r="B15" s="13"/>
      <c r="C15" s="13"/>
      <c r="D15" s="32" t="str">
        <f>+'S&amp;D'!A12</f>
        <v>Natural Gas Utility Distribution</v>
      </c>
      <c r="E15" s="13"/>
      <c r="F15" s="13"/>
      <c r="G15" s="13"/>
      <c r="H15" s="13"/>
      <c r="I15" s="13"/>
      <c r="J15" s="13"/>
      <c r="K15" s="13"/>
    </row>
    <row r="16" spans="1:11" ht="21" thickBot="1">
      <c r="B16" s="13"/>
      <c r="C16" s="30"/>
      <c r="D16" s="134" t="s">
        <v>88</v>
      </c>
      <c r="E16" s="30"/>
      <c r="F16" s="13"/>
      <c r="G16" s="13"/>
      <c r="H16" s="13"/>
      <c r="I16" s="13"/>
      <c r="J16" s="13"/>
      <c r="K16" s="13"/>
    </row>
    <row r="17" spans="2:11" ht="16.5">
      <c r="H17" s="13"/>
      <c r="I17" s="13"/>
      <c r="J17" s="13"/>
      <c r="K17" s="13"/>
    </row>
    <row r="18" spans="2:11" ht="17.25" thickBot="1">
      <c r="B18" s="30"/>
      <c r="C18" s="30"/>
      <c r="D18" s="37" t="s">
        <v>0</v>
      </c>
      <c r="E18" s="30"/>
      <c r="F18" s="30"/>
      <c r="G18" s="30"/>
      <c r="H18" s="13"/>
      <c r="I18" s="13"/>
      <c r="J18" s="13"/>
      <c r="K18" s="13"/>
    </row>
    <row r="19" spans="2:11" ht="16.5">
      <c r="B19" s="35" t="s">
        <v>32</v>
      </c>
      <c r="C19" s="35" t="s">
        <v>33</v>
      </c>
      <c r="D19" s="35" t="s">
        <v>85</v>
      </c>
      <c r="E19" s="35" t="s">
        <v>86</v>
      </c>
      <c r="F19" s="35" t="s">
        <v>84</v>
      </c>
      <c r="G19" s="35" t="s">
        <v>35</v>
      </c>
      <c r="H19" s="13"/>
      <c r="I19" s="13"/>
      <c r="J19" s="13"/>
      <c r="K19" s="13"/>
    </row>
    <row r="20" spans="2:11" ht="17.25" thickBot="1">
      <c r="B20" s="37" t="s">
        <v>33</v>
      </c>
      <c r="C20" s="37" t="s">
        <v>36</v>
      </c>
      <c r="D20" s="37" t="s">
        <v>37</v>
      </c>
      <c r="E20" s="37" t="s">
        <v>23</v>
      </c>
      <c r="F20" s="37" t="s">
        <v>38</v>
      </c>
      <c r="G20" s="37" t="s">
        <v>87</v>
      </c>
      <c r="H20" s="13"/>
      <c r="I20" s="13"/>
      <c r="J20" s="13"/>
      <c r="K20" s="13"/>
    </row>
    <row r="21" spans="2:11" ht="16.5">
      <c r="B21" s="39" t="s">
        <v>0</v>
      </c>
      <c r="C21" s="39" t="s">
        <v>0</v>
      </c>
      <c r="D21" s="39" t="s">
        <v>0</v>
      </c>
      <c r="E21" s="39" t="s">
        <v>0</v>
      </c>
      <c r="F21" s="39" t="s">
        <v>0</v>
      </c>
      <c r="G21" s="39" t="s">
        <v>0</v>
      </c>
      <c r="H21" s="13"/>
      <c r="I21" s="13"/>
      <c r="J21" s="13"/>
      <c r="K21" s="13"/>
    </row>
    <row r="22" spans="2:11" ht="16.5">
      <c r="B22" s="35"/>
      <c r="C22" s="35"/>
      <c r="D22" s="35"/>
      <c r="E22" s="35"/>
      <c r="F22" s="35"/>
      <c r="G22" s="35"/>
      <c r="H22" s="13"/>
      <c r="I22" s="13"/>
      <c r="J22" s="13"/>
      <c r="K22" s="13"/>
    </row>
    <row r="23" spans="2:11" ht="17.25">
      <c r="B23" s="90" t="s">
        <v>40</v>
      </c>
      <c r="C23" s="135">
        <f>'S&amp;D'!I58</f>
        <v>0.57999999999999996</v>
      </c>
      <c r="D23" s="135">
        <f>+'Direct NOPAT'!J37</f>
        <v>5.9299999999999999E-2</v>
      </c>
      <c r="E23" s="106"/>
      <c r="F23" s="135">
        <f>+D23</f>
        <v>5.9299999999999999E-2</v>
      </c>
      <c r="G23" s="136">
        <f>+F23*C23</f>
        <v>3.4393999999999994E-2</v>
      </c>
      <c r="H23" s="13"/>
      <c r="I23" s="13"/>
      <c r="J23" s="13"/>
      <c r="K23" s="13"/>
    </row>
    <row r="24" spans="2:11" ht="17.25">
      <c r="B24" s="90" t="s">
        <v>0</v>
      </c>
      <c r="C24" s="106" t="s">
        <v>0</v>
      </c>
      <c r="D24" s="106" t="s">
        <v>0</v>
      </c>
      <c r="E24" s="106" t="s">
        <v>0</v>
      </c>
      <c r="F24" s="482" t="s">
        <v>0</v>
      </c>
      <c r="G24" s="124" t="s">
        <v>0</v>
      </c>
      <c r="H24" s="13"/>
      <c r="I24" s="13"/>
      <c r="J24" s="13"/>
      <c r="K24" s="13"/>
    </row>
    <row r="25" spans="2:11" ht="17.25">
      <c r="B25" s="90" t="s">
        <v>42</v>
      </c>
      <c r="C25" s="135">
        <f>'S&amp;D'!J58</f>
        <v>0.42</v>
      </c>
      <c r="D25" s="135">
        <f>+Debt!J33</f>
        <v>5.8400000000000001E-2</v>
      </c>
      <c r="E25" s="135">
        <v>0.26</v>
      </c>
      <c r="F25" s="135">
        <f>+D25*(1-E25)</f>
        <v>4.3215999999999997E-2</v>
      </c>
      <c r="G25" s="136">
        <f>+C25*F25</f>
        <v>1.8150719999999999E-2</v>
      </c>
      <c r="H25" s="13"/>
      <c r="I25" s="13"/>
      <c r="J25" s="13"/>
      <c r="K25" s="13"/>
    </row>
    <row r="26" spans="2:11" ht="18" thickBot="1">
      <c r="B26" s="99" t="s">
        <v>0</v>
      </c>
      <c r="C26" s="99" t="s">
        <v>0</v>
      </c>
      <c r="D26" s="99" t="s">
        <v>0</v>
      </c>
      <c r="E26" s="99" t="s">
        <v>0</v>
      </c>
      <c r="F26" s="137" t="s">
        <v>0</v>
      </c>
      <c r="G26" s="138" t="s">
        <v>0</v>
      </c>
      <c r="H26" s="13"/>
      <c r="I26" s="13"/>
      <c r="J26" s="13"/>
      <c r="K26" s="13"/>
    </row>
    <row r="27" spans="2:11" ht="17.25">
      <c r="B27" s="90" t="s">
        <v>43</v>
      </c>
      <c r="C27" s="139">
        <f>+C23+C25</f>
        <v>1</v>
      </c>
      <c r="D27" s="90" t="s">
        <v>0</v>
      </c>
      <c r="E27" s="90" t="s">
        <v>0</v>
      </c>
      <c r="F27" s="140" t="s">
        <v>0</v>
      </c>
      <c r="G27" s="136">
        <f>+G23+G25</f>
        <v>5.2544719999999989E-2</v>
      </c>
      <c r="H27" s="13"/>
      <c r="I27" s="13"/>
      <c r="J27" s="13"/>
      <c r="K27" s="13"/>
    </row>
    <row r="28" spans="2:11" ht="18" thickBot="1">
      <c r="B28" s="63"/>
      <c r="C28" s="63"/>
      <c r="D28" s="63"/>
      <c r="E28" s="63"/>
      <c r="F28" s="63"/>
      <c r="G28" s="141"/>
      <c r="H28" s="13"/>
      <c r="I28" s="13"/>
      <c r="J28" s="13"/>
      <c r="K28" s="13"/>
    </row>
    <row r="29" spans="2:11" ht="18" thickBot="1">
      <c r="B29" s="13"/>
      <c r="C29" s="13"/>
      <c r="D29" s="13"/>
      <c r="E29" s="13"/>
      <c r="F29" s="185" t="s">
        <v>92</v>
      </c>
      <c r="G29" s="170">
        <v>5.2499999999999998E-2</v>
      </c>
      <c r="H29" s="13"/>
      <c r="I29" s="13"/>
      <c r="J29" s="13"/>
      <c r="K29" s="13"/>
    </row>
    <row r="30" spans="2:11" ht="18" thickBot="1">
      <c r="B30" s="13"/>
      <c r="C30" s="13"/>
      <c r="D30" s="13"/>
      <c r="E30" s="13"/>
      <c r="F30" s="140"/>
      <c r="G30" s="136"/>
      <c r="H30" s="13"/>
      <c r="I30" s="13"/>
      <c r="J30" s="13"/>
      <c r="K30" s="13"/>
    </row>
    <row r="31" spans="2:11" ht="18" thickBot="1">
      <c r="B31" s="13"/>
      <c r="C31" s="13"/>
      <c r="D31" s="13"/>
      <c r="E31" s="13"/>
      <c r="F31" s="185" t="s">
        <v>242</v>
      </c>
      <c r="G31" s="212">
        <f>1/G29</f>
        <v>19.047619047619047</v>
      </c>
      <c r="H31" s="13"/>
      <c r="I31" s="13"/>
      <c r="J31" s="13"/>
      <c r="K31" s="13"/>
    </row>
    <row r="32" spans="2:11" ht="17.25">
      <c r="B32" s="13"/>
      <c r="C32" s="13"/>
      <c r="D32" s="13"/>
      <c r="E32" s="13"/>
      <c r="F32" s="140"/>
      <c r="G32" s="136"/>
      <c r="H32" s="13"/>
      <c r="I32" s="13"/>
      <c r="J32" s="13"/>
      <c r="K32" s="13"/>
    </row>
    <row r="33" spans="1:11" ht="17.25">
      <c r="B33" s="13"/>
      <c r="C33" s="13"/>
      <c r="D33" s="13"/>
      <c r="E33" s="13"/>
      <c r="F33" s="140"/>
      <c r="G33" s="136"/>
      <c r="H33" s="13"/>
      <c r="I33" s="13"/>
      <c r="J33" s="13"/>
      <c r="K33" s="13"/>
    </row>
    <row r="34" spans="1:11" ht="26.25">
      <c r="A34" s="25" t="s">
        <v>1</v>
      </c>
      <c r="C34" s="13"/>
      <c r="D34" s="13"/>
      <c r="E34" s="13"/>
      <c r="F34" s="140"/>
      <c r="G34" s="136"/>
      <c r="H34" s="13"/>
      <c r="I34" s="13"/>
      <c r="J34" s="13"/>
      <c r="K34" s="13"/>
    </row>
    <row r="35" spans="1:11" ht="17.25">
      <c r="A35" s="26" t="s">
        <v>9</v>
      </c>
      <c r="C35" s="13"/>
      <c r="D35" s="13"/>
      <c r="E35" s="13"/>
      <c r="F35" s="140"/>
      <c r="G35" s="136"/>
      <c r="H35" s="13"/>
      <c r="I35" s="13"/>
      <c r="J35" s="13"/>
      <c r="K35" s="13"/>
    </row>
    <row r="36" spans="1:11" ht="17.25">
      <c r="A36" s="27" t="s">
        <v>485</v>
      </c>
      <c r="C36" s="13"/>
      <c r="D36" s="13"/>
      <c r="E36" s="13"/>
      <c r="F36" s="140"/>
      <c r="G36" s="136"/>
      <c r="H36" s="13"/>
      <c r="I36" s="13"/>
      <c r="J36" s="13"/>
      <c r="K36" s="13"/>
    </row>
    <row r="37" spans="1:11" ht="17.25">
      <c r="A37" s="27"/>
      <c r="C37" s="13"/>
      <c r="D37" s="13"/>
      <c r="E37" s="13"/>
      <c r="F37" s="140"/>
      <c r="G37" s="136"/>
      <c r="H37" s="13"/>
      <c r="I37" s="13"/>
      <c r="J37" s="13"/>
      <c r="K37" s="13"/>
    </row>
    <row r="38" spans="1:11" ht="17.25">
      <c r="A38" s="27"/>
      <c r="C38" s="13"/>
      <c r="D38" s="13"/>
      <c r="E38" s="13"/>
      <c r="F38" s="140"/>
      <c r="G38" s="136"/>
      <c r="H38" s="13"/>
      <c r="I38" s="13"/>
      <c r="J38" s="13"/>
      <c r="K38" s="13"/>
    </row>
    <row r="39" spans="1:11" ht="17.25">
      <c r="A39" s="27"/>
      <c r="C39" s="13"/>
      <c r="D39" s="13"/>
      <c r="E39" s="13"/>
      <c r="F39" s="140"/>
      <c r="G39" s="136"/>
      <c r="H39" s="13"/>
      <c r="I39" s="13"/>
      <c r="J39" s="13"/>
      <c r="K39" s="13"/>
    </row>
    <row r="40" spans="1:11" ht="17.25">
      <c r="A40" s="27"/>
      <c r="C40" s="13"/>
      <c r="D40" s="13"/>
      <c r="E40" s="13"/>
      <c r="F40" s="140"/>
      <c r="G40" s="136"/>
      <c r="H40" s="13"/>
      <c r="I40" s="13"/>
      <c r="J40" s="13"/>
      <c r="K40" s="13"/>
    </row>
    <row r="41" spans="1:11" ht="17.25">
      <c r="A41" s="27"/>
      <c r="C41" s="13"/>
      <c r="D41" s="13"/>
      <c r="E41" s="13"/>
      <c r="F41" s="140"/>
      <c r="G41" s="136"/>
      <c r="H41" s="13"/>
      <c r="I41" s="13"/>
      <c r="J41" s="13"/>
      <c r="K41" s="13"/>
    </row>
    <row r="42" spans="1:11" ht="17.25">
      <c r="A42" s="27"/>
      <c r="C42" s="13"/>
      <c r="D42" s="13"/>
      <c r="E42" s="13"/>
      <c r="F42" s="140"/>
      <c r="G42" s="136"/>
      <c r="H42" s="13"/>
      <c r="I42" s="13"/>
      <c r="J42" s="13"/>
      <c r="K42" s="13"/>
    </row>
    <row r="43" spans="1:11" ht="17.25">
      <c r="A43" s="27"/>
      <c r="C43" s="13"/>
      <c r="D43" s="13"/>
      <c r="E43" s="13"/>
      <c r="F43" s="140"/>
      <c r="G43" s="136"/>
      <c r="H43" s="13"/>
      <c r="I43" s="13"/>
      <c r="J43" s="13"/>
      <c r="K43" s="13"/>
    </row>
    <row r="44" spans="1:11" ht="20.25">
      <c r="A44" s="27"/>
      <c r="C44" s="13"/>
      <c r="D44" s="78" t="s">
        <v>81</v>
      </c>
      <c r="E44" s="13"/>
      <c r="F44" s="140"/>
      <c r="G44" s="136"/>
      <c r="H44" s="13"/>
      <c r="I44" s="13"/>
      <c r="J44" s="13"/>
      <c r="K44" s="13"/>
    </row>
    <row r="45" spans="1:11" ht="20.25">
      <c r="A45" s="27"/>
      <c r="C45" s="13"/>
      <c r="D45" s="78"/>
      <c r="E45" s="13"/>
      <c r="F45" s="140"/>
      <c r="G45" s="136"/>
      <c r="H45" s="13"/>
      <c r="I45" s="13"/>
      <c r="J45" s="13"/>
      <c r="K45" s="13"/>
    </row>
    <row r="46" spans="1:11" ht="20.25">
      <c r="A46" s="27"/>
      <c r="C46" s="13"/>
      <c r="D46" s="78"/>
      <c r="E46" s="13"/>
      <c r="F46" s="140"/>
      <c r="G46" s="136"/>
      <c r="H46" s="13"/>
      <c r="I46" s="13"/>
      <c r="J46" s="13"/>
      <c r="K46" s="13"/>
    </row>
    <row r="47" spans="1:11" ht="17.25" thickBot="1">
      <c r="B47" s="13"/>
      <c r="C47" s="30"/>
      <c r="D47" s="30"/>
      <c r="E47" s="30"/>
      <c r="F47" s="13"/>
      <c r="G47" s="13"/>
      <c r="H47" s="13"/>
      <c r="I47" s="13"/>
      <c r="J47" s="13"/>
      <c r="K47" s="13"/>
    </row>
    <row r="48" spans="1:11" ht="26.25">
      <c r="B48" s="13"/>
      <c r="C48" s="13"/>
      <c r="D48" s="32" t="str">
        <f>+D15</f>
        <v>Natural Gas Utility Distribution</v>
      </c>
      <c r="E48" s="13"/>
      <c r="F48" s="13"/>
      <c r="G48" s="13"/>
      <c r="H48" s="13"/>
      <c r="I48" s="13"/>
      <c r="J48" s="13"/>
      <c r="K48" s="13"/>
    </row>
    <row r="49" spans="2:11" ht="21" thickBot="1">
      <c r="B49" s="13"/>
      <c r="C49" s="30"/>
      <c r="D49" s="134" t="s">
        <v>83</v>
      </c>
      <c r="E49" s="30"/>
      <c r="F49" s="13"/>
      <c r="G49" s="13"/>
      <c r="H49" s="13"/>
      <c r="I49" s="13"/>
      <c r="J49" s="13"/>
      <c r="K49" s="13"/>
    </row>
    <row r="50" spans="2:11" ht="16.5"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2:11" ht="17.25" thickBot="1">
      <c r="B51" s="30"/>
      <c r="C51" s="30"/>
      <c r="D51" s="37" t="s">
        <v>0</v>
      </c>
      <c r="E51" s="30"/>
      <c r="F51" s="30"/>
      <c r="G51" s="30"/>
      <c r="H51" s="13"/>
      <c r="I51" s="13"/>
      <c r="J51" s="13"/>
      <c r="K51" s="13"/>
    </row>
    <row r="52" spans="2:11" ht="16.5">
      <c r="B52" s="35" t="s">
        <v>32</v>
      </c>
      <c r="C52" s="35" t="s">
        <v>33</v>
      </c>
      <c r="D52" s="35" t="s">
        <v>85</v>
      </c>
      <c r="E52" s="35" t="s">
        <v>86</v>
      </c>
      <c r="F52" s="35" t="s">
        <v>84</v>
      </c>
      <c r="G52" s="35" t="s">
        <v>35</v>
      </c>
      <c r="H52" s="13"/>
      <c r="I52" s="13"/>
      <c r="J52" s="13"/>
      <c r="K52" s="13"/>
    </row>
    <row r="53" spans="2:11" ht="17.25" thickBot="1">
      <c r="B53" s="37" t="s">
        <v>33</v>
      </c>
      <c r="C53" s="37" t="s">
        <v>36</v>
      </c>
      <c r="D53" s="37" t="s">
        <v>37</v>
      </c>
      <c r="E53" s="37" t="s">
        <v>23</v>
      </c>
      <c r="F53" s="37" t="s">
        <v>38</v>
      </c>
      <c r="G53" s="37" t="s">
        <v>87</v>
      </c>
      <c r="H53" s="13"/>
      <c r="I53" s="13"/>
      <c r="J53" s="13"/>
      <c r="K53" s="13"/>
    </row>
    <row r="54" spans="2:11" ht="16.5">
      <c r="B54" s="39" t="s">
        <v>0</v>
      </c>
      <c r="C54" s="39" t="s">
        <v>0</v>
      </c>
      <c r="D54" s="39" t="s">
        <v>0</v>
      </c>
      <c r="E54" s="39" t="s">
        <v>0</v>
      </c>
      <c r="F54" s="39" t="s">
        <v>0</v>
      </c>
      <c r="G54" s="39" t="s">
        <v>0</v>
      </c>
      <c r="H54" s="13"/>
      <c r="I54" s="13"/>
      <c r="J54" s="13"/>
      <c r="K54" s="13"/>
    </row>
    <row r="55" spans="2:11" ht="16.5">
      <c r="B55" s="35"/>
      <c r="C55" s="35"/>
      <c r="D55" s="35"/>
      <c r="E55" s="35"/>
      <c r="F55" s="35"/>
      <c r="G55" s="35"/>
      <c r="H55" s="13"/>
      <c r="I55" s="13"/>
      <c r="J55" s="13"/>
      <c r="K55" s="13"/>
    </row>
    <row r="56" spans="2:11" ht="17.25">
      <c r="B56" s="90" t="s">
        <v>40</v>
      </c>
      <c r="C56" s="135">
        <f>'S&amp;D'!I58</f>
        <v>0.57999999999999996</v>
      </c>
      <c r="D56" s="135">
        <f>'Direct GCF'!H36</f>
        <v>0.1167</v>
      </c>
      <c r="E56" s="106" t="s">
        <v>41</v>
      </c>
      <c r="F56" s="135">
        <f>+D56</f>
        <v>0.1167</v>
      </c>
      <c r="G56" s="136">
        <f>+F56*C56</f>
        <v>6.7685999999999996E-2</v>
      </c>
      <c r="H56" s="13"/>
      <c r="I56" s="13"/>
      <c r="J56" s="13"/>
      <c r="K56" s="13"/>
    </row>
    <row r="57" spans="2:11" ht="17.25">
      <c r="B57" s="90" t="s">
        <v>0</v>
      </c>
      <c r="C57" s="106" t="s">
        <v>0</v>
      </c>
      <c r="D57" s="106" t="s">
        <v>0</v>
      </c>
      <c r="E57" s="106" t="s">
        <v>0</v>
      </c>
      <c r="F57" s="482" t="s">
        <v>0</v>
      </c>
      <c r="G57" s="124" t="s">
        <v>0</v>
      </c>
      <c r="H57" s="13"/>
      <c r="I57" s="13"/>
      <c r="J57" s="13"/>
      <c r="K57" s="13"/>
    </row>
    <row r="58" spans="2:11" ht="17.25">
      <c r="B58" s="90" t="s">
        <v>42</v>
      </c>
      <c r="C58" s="135">
        <f>'S&amp;D'!J58</f>
        <v>0.42</v>
      </c>
      <c r="D58" s="135">
        <f>+Debt!J33</f>
        <v>5.8400000000000001E-2</v>
      </c>
      <c r="E58" s="135">
        <v>0.26</v>
      </c>
      <c r="F58" s="135">
        <f>+D58*(1-E58)</f>
        <v>4.3215999999999997E-2</v>
      </c>
      <c r="G58" s="136">
        <f>+C58*F58</f>
        <v>1.8150719999999999E-2</v>
      </c>
      <c r="H58" s="13"/>
      <c r="I58" s="13"/>
      <c r="J58" s="13"/>
      <c r="K58" s="13"/>
    </row>
    <row r="59" spans="2:11" ht="18" thickBot="1">
      <c r="B59" s="99" t="s">
        <v>0</v>
      </c>
      <c r="C59" s="99" t="s">
        <v>0</v>
      </c>
      <c r="D59" s="99" t="s">
        <v>0</v>
      </c>
      <c r="E59" s="99" t="s">
        <v>0</v>
      </c>
      <c r="F59" s="137" t="s">
        <v>0</v>
      </c>
      <c r="G59" s="138" t="s">
        <v>0</v>
      </c>
      <c r="H59" s="13"/>
      <c r="I59" s="13"/>
      <c r="J59" s="13"/>
      <c r="K59" s="13"/>
    </row>
    <row r="60" spans="2:11" ht="17.25">
      <c r="B60" s="90" t="s">
        <v>43</v>
      </c>
      <c r="C60" s="139">
        <f>+C56+C58</f>
        <v>1</v>
      </c>
      <c r="D60" s="90" t="s">
        <v>0</v>
      </c>
      <c r="E60" s="90" t="s">
        <v>0</v>
      </c>
      <c r="F60" s="140" t="s">
        <v>0</v>
      </c>
      <c r="G60" s="136">
        <f>+G56+G58</f>
        <v>8.5836719999999991E-2</v>
      </c>
      <c r="H60" s="13"/>
      <c r="I60" s="13"/>
      <c r="J60" s="13"/>
      <c r="K60" s="13"/>
    </row>
    <row r="61" spans="2:11" ht="18" thickBot="1">
      <c r="B61" s="63"/>
      <c r="C61" s="63"/>
      <c r="D61" s="63"/>
      <c r="E61" s="63"/>
      <c r="F61" s="63"/>
      <c r="G61" s="141"/>
      <c r="H61" s="13"/>
      <c r="I61" s="13"/>
      <c r="J61" s="13"/>
      <c r="K61" s="13"/>
    </row>
    <row r="62" spans="2:11" ht="18" thickBot="1">
      <c r="B62" s="13"/>
      <c r="C62" s="13"/>
      <c r="D62" s="13"/>
      <c r="E62" s="13"/>
      <c r="F62" s="185" t="s">
        <v>92</v>
      </c>
      <c r="G62" s="170">
        <v>8.5800000000000001E-2</v>
      </c>
      <c r="H62" s="13"/>
      <c r="I62" s="13"/>
      <c r="J62" s="13"/>
      <c r="K62" s="13"/>
    </row>
    <row r="63" spans="2:11" ht="15.75" thickBot="1"/>
    <row r="64" spans="2:11" ht="18" thickBot="1">
      <c r="F64" s="185" t="s">
        <v>242</v>
      </c>
      <c r="G64" s="212">
        <f>1/G62</f>
        <v>11.655011655011656</v>
      </c>
    </row>
  </sheetData>
  <pageMargins left="0.25" right="0.25" top="0.75" bottom="0.75" header="0.3" footer="0.3"/>
  <pageSetup scale="72" fitToHeight="0" orientation="landscape" r:id="rId1"/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M85"/>
  <sheetViews>
    <sheetView view="pageBreakPreview" zoomScale="70" zoomScaleNormal="80" zoomScaleSheetLayoutView="70" zoomScalePageLayoutView="70" workbookViewId="0">
      <pane xSplit="1" topLeftCell="C1" activePane="topRight" state="frozen"/>
      <selection activeCell="F4" sqref="F4"/>
      <selection pane="topRight" activeCell="A85" activeCellId="1" sqref="F4:F5 A85"/>
    </sheetView>
  </sheetViews>
  <sheetFormatPr defaultRowHeight="15"/>
  <cols>
    <col min="1" max="1" width="63" customWidth="1"/>
    <col min="2" max="2" width="11.5703125" bestFit="1" customWidth="1"/>
    <col min="3" max="3" width="25.85546875" customWidth="1"/>
    <col min="4" max="4" width="25.5703125" bestFit="1" customWidth="1"/>
    <col min="5" max="5" width="28" customWidth="1"/>
    <col min="6" max="7" width="29.140625" customWidth="1"/>
    <col min="8" max="8" width="31.85546875" customWidth="1"/>
    <col min="9" max="9" width="31.5703125" customWidth="1"/>
    <col min="10" max="10" width="30.85546875" customWidth="1"/>
    <col min="11" max="11" width="12.85546875" customWidth="1"/>
    <col min="12" max="12" width="25.85546875" bestFit="1" customWidth="1"/>
    <col min="13" max="13" width="30.140625" bestFit="1" customWidth="1"/>
    <col min="14" max="14" width="9.140625" customWidth="1"/>
  </cols>
  <sheetData>
    <row r="1" spans="1:12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6.5">
      <c r="A3" s="27" t="s">
        <v>485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ht="16.5">
      <c r="A4" s="27"/>
      <c r="B4" s="13"/>
      <c r="C4" s="13"/>
      <c r="D4" s="13"/>
      <c r="E4" s="13"/>
      <c r="F4" s="484" t="s">
        <v>0</v>
      </c>
      <c r="G4" s="13"/>
      <c r="H4" s="13"/>
      <c r="I4" s="13"/>
      <c r="J4" s="13"/>
      <c r="K4" s="13"/>
    </row>
    <row r="5" spans="1:12" ht="16.5">
      <c r="B5" s="13"/>
      <c r="C5" s="13"/>
      <c r="D5" s="13"/>
      <c r="E5" s="28"/>
      <c r="F5" s="484" t="s">
        <v>0</v>
      </c>
      <c r="G5" s="13"/>
      <c r="H5" s="13"/>
      <c r="I5" s="13"/>
      <c r="J5" s="13"/>
      <c r="K5" s="13" t="s">
        <v>0</v>
      </c>
    </row>
    <row r="6" spans="1:12" ht="16.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ht="16.5">
      <c r="A7" s="13"/>
      <c r="B7" s="35"/>
      <c r="C7" s="35"/>
      <c r="D7" s="35"/>
      <c r="E7" s="35"/>
      <c r="F7" s="35"/>
      <c r="G7" s="15"/>
      <c r="H7" s="44"/>
      <c r="I7" s="44"/>
      <c r="J7" s="85"/>
      <c r="K7" s="85"/>
      <c r="L7" s="3"/>
    </row>
    <row r="8" spans="1:12" ht="16.5">
      <c r="A8" s="86"/>
      <c r="B8" s="35"/>
      <c r="C8" s="35"/>
      <c r="D8" s="35"/>
      <c r="E8" s="35"/>
      <c r="F8" s="35"/>
      <c r="G8" s="15"/>
      <c r="H8" s="44"/>
      <c r="I8" s="44"/>
      <c r="J8" s="85"/>
      <c r="K8" s="85"/>
      <c r="L8" s="3"/>
    </row>
    <row r="9" spans="1:12" ht="16.5">
      <c r="A9" s="86"/>
      <c r="B9" s="35"/>
      <c r="C9" s="35"/>
      <c r="D9" s="35"/>
      <c r="E9" s="35"/>
      <c r="F9" s="35"/>
      <c r="G9" s="15"/>
      <c r="H9" s="44"/>
      <c r="I9" s="44"/>
      <c r="J9" s="85"/>
      <c r="K9" s="85"/>
      <c r="L9" s="3"/>
    </row>
    <row r="10" spans="1:12" ht="16.5">
      <c r="A10" s="44"/>
      <c r="D10" s="44"/>
      <c r="E10" s="44"/>
      <c r="F10" s="44"/>
      <c r="G10" s="44"/>
      <c r="H10" s="44"/>
      <c r="I10" s="44"/>
      <c r="J10" s="44"/>
      <c r="K10" s="44"/>
      <c r="L10" s="2"/>
    </row>
    <row r="11" spans="1:12" ht="17.25" thickBot="1">
      <c r="A11" s="44"/>
      <c r="D11" s="44"/>
      <c r="E11" s="87"/>
      <c r="F11" s="30"/>
      <c r="G11" s="87"/>
      <c r="H11" s="44"/>
      <c r="I11" s="44"/>
      <c r="J11" s="44"/>
      <c r="K11" s="44"/>
      <c r="L11" s="2"/>
    </row>
    <row r="12" spans="1:12" ht="27" thickBot="1">
      <c r="A12" s="29" t="s">
        <v>399</v>
      </c>
      <c r="D12" s="44"/>
      <c r="E12" s="44"/>
      <c r="F12" s="32" t="s">
        <v>93</v>
      </c>
      <c r="G12" s="44"/>
      <c r="H12" s="44"/>
      <c r="I12" s="44"/>
      <c r="J12" s="44"/>
      <c r="K12" s="13"/>
    </row>
    <row r="13" spans="1:12" ht="21" thickBot="1">
      <c r="A13" s="31"/>
      <c r="D13" s="44"/>
      <c r="E13" s="87"/>
      <c r="F13" s="37" t="s">
        <v>498</v>
      </c>
      <c r="G13" s="87"/>
      <c r="H13" s="44"/>
      <c r="I13" s="44"/>
      <c r="J13" s="44" t="s">
        <v>0</v>
      </c>
      <c r="K13" s="13"/>
    </row>
    <row r="14" spans="1:12" ht="20.25">
      <c r="A14" s="31"/>
      <c r="B14" s="44"/>
      <c r="C14" s="44"/>
      <c r="D14" s="44"/>
      <c r="E14" s="44"/>
      <c r="F14" s="14" t="s">
        <v>0</v>
      </c>
      <c r="G14" s="44"/>
      <c r="H14" s="44"/>
      <c r="I14" s="44"/>
      <c r="J14" s="44"/>
      <c r="K14" s="13"/>
    </row>
    <row r="15" spans="1:12" ht="17.25" thickBot="1">
      <c r="A15" s="42" t="s">
        <v>0</v>
      </c>
      <c r="B15" s="42" t="s">
        <v>0</v>
      </c>
      <c r="C15" s="42" t="s">
        <v>0</v>
      </c>
      <c r="D15" s="42"/>
      <c r="E15" s="42"/>
      <c r="F15" s="42"/>
      <c r="G15" s="42" t="s">
        <v>0</v>
      </c>
      <c r="H15" s="87"/>
      <c r="I15" s="87"/>
      <c r="J15" s="87"/>
      <c r="K15" s="13"/>
    </row>
    <row r="16" spans="1:12" ht="17.25">
      <c r="A16" s="88"/>
      <c r="B16" s="89"/>
      <c r="C16" s="228"/>
      <c r="D16" s="91" t="s">
        <v>13</v>
      </c>
      <c r="E16" s="92" t="s">
        <v>13</v>
      </c>
      <c r="F16" s="91" t="s">
        <v>13</v>
      </c>
      <c r="G16" s="90" t="s">
        <v>251</v>
      </c>
      <c r="H16" s="93" t="s">
        <v>499</v>
      </c>
      <c r="I16" s="93" t="s">
        <v>499</v>
      </c>
      <c r="J16" s="93" t="s">
        <v>499</v>
      </c>
      <c r="K16" s="13"/>
    </row>
    <row r="17" spans="1:13" ht="17.25">
      <c r="A17" s="88" t="s">
        <v>0</v>
      </c>
      <c r="B17" s="89" t="s">
        <v>3</v>
      </c>
      <c r="C17" s="89" t="s">
        <v>5</v>
      </c>
      <c r="D17" s="91" t="s">
        <v>10</v>
      </c>
      <c r="E17" s="92" t="s">
        <v>10</v>
      </c>
      <c r="F17" s="91" t="s">
        <v>19</v>
      </c>
      <c r="G17" s="93" t="s">
        <v>499</v>
      </c>
      <c r="H17" s="89" t="s">
        <v>12</v>
      </c>
      <c r="I17" s="95" t="s">
        <v>11</v>
      </c>
      <c r="J17" s="96" t="s">
        <v>161</v>
      </c>
      <c r="K17" s="13"/>
    </row>
    <row r="18" spans="1:13" ht="17.25">
      <c r="A18" s="88" t="s">
        <v>2</v>
      </c>
      <c r="B18" s="89" t="s">
        <v>4</v>
      </c>
      <c r="C18" s="89" t="s">
        <v>6</v>
      </c>
      <c r="D18" s="91" t="s">
        <v>56</v>
      </c>
      <c r="E18" s="92" t="s">
        <v>57</v>
      </c>
      <c r="F18" s="91" t="s">
        <v>10</v>
      </c>
      <c r="G18" s="94" t="s">
        <v>10</v>
      </c>
      <c r="H18" s="89" t="s">
        <v>91</v>
      </c>
      <c r="I18" s="183"/>
      <c r="J18" s="96" t="s">
        <v>252</v>
      </c>
      <c r="K18" s="13" t="s">
        <v>0</v>
      </c>
    </row>
    <row r="19" spans="1:13" ht="18" thickBot="1">
      <c r="A19" s="97" t="s">
        <v>0</v>
      </c>
      <c r="B19" s="98" t="s">
        <v>0</v>
      </c>
      <c r="C19" s="98" t="s">
        <v>0</v>
      </c>
      <c r="D19" s="98" t="s">
        <v>0</v>
      </c>
      <c r="E19" s="99" t="s">
        <v>0</v>
      </c>
      <c r="F19" s="98" t="s">
        <v>0</v>
      </c>
      <c r="G19" s="99" t="s">
        <v>0</v>
      </c>
      <c r="H19" s="100" t="s">
        <v>80</v>
      </c>
      <c r="I19" s="101" t="s">
        <v>79</v>
      </c>
      <c r="J19" s="100" t="s">
        <v>79</v>
      </c>
      <c r="K19" s="13"/>
      <c r="M19" s="304" t="s">
        <v>0</v>
      </c>
    </row>
    <row r="20" spans="1:13" ht="16.5">
      <c r="A20" s="102" t="s">
        <v>7</v>
      </c>
      <c r="B20" s="103" t="s">
        <v>7</v>
      </c>
      <c r="C20" s="245" t="s">
        <v>7</v>
      </c>
      <c r="D20" s="103" t="s">
        <v>7</v>
      </c>
      <c r="E20" s="43" t="s">
        <v>7</v>
      </c>
      <c r="F20" s="103" t="s">
        <v>15</v>
      </c>
      <c r="G20" s="43" t="s">
        <v>7</v>
      </c>
      <c r="H20" s="103" t="s">
        <v>8</v>
      </c>
      <c r="I20" s="43" t="s">
        <v>8</v>
      </c>
      <c r="J20" s="103" t="s">
        <v>8</v>
      </c>
      <c r="K20" s="13"/>
      <c r="M20" s="304" t="s">
        <v>0</v>
      </c>
    </row>
    <row r="21" spans="1:13" ht="17.25">
      <c r="A21" s="88"/>
      <c r="B21" s="89"/>
      <c r="C21" s="89"/>
      <c r="D21" s="89"/>
      <c r="E21" s="90"/>
      <c r="F21" s="89"/>
      <c r="G21" s="90"/>
      <c r="H21" s="89"/>
      <c r="I21" s="63"/>
      <c r="J21" s="104"/>
      <c r="K21" s="13"/>
    </row>
    <row r="22" spans="1:13" ht="17.25">
      <c r="A22" s="105" t="s">
        <v>371</v>
      </c>
      <c r="B22" s="89" t="s">
        <v>372</v>
      </c>
      <c r="C22" s="89" t="s">
        <v>373</v>
      </c>
      <c r="D22" s="107">
        <v>180.65</v>
      </c>
      <c r="E22" s="107">
        <v>165.37</v>
      </c>
      <c r="F22" s="107">
        <f>AVERAGE(D22,E22)</f>
        <v>173.01</v>
      </c>
      <c r="G22" s="107">
        <v>167.63</v>
      </c>
      <c r="H22" s="275">
        <v>161568384</v>
      </c>
      <c r="I22" s="271"/>
      <c r="J22" s="271">
        <f>8907169000+11775000</f>
        <v>8918944000</v>
      </c>
      <c r="K22" s="13"/>
      <c r="M22" s="119" t="s">
        <v>0</v>
      </c>
    </row>
    <row r="23" spans="1:13" ht="17.25">
      <c r="A23" s="105" t="s">
        <v>374</v>
      </c>
      <c r="B23" s="89" t="s">
        <v>375</v>
      </c>
      <c r="C23" s="80" t="s">
        <v>401</v>
      </c>
      <c r="D23" s="107">
        <v>74.02</v>
      </c>
      <c r="E23" s="107">
        <v>59.91</v>
      </c>
      <c r="F23" s="107">
        <f>AVERAGE(D23,E23)</f>
        <v>66.965000000000003</v>
      </c>
      <c r="G23" s="107">
        <v>69.42</v>
      </c>
      <c r="H23" s="275">
        <f>75520234-43167</f>
        <v>75477067</v>
      </c>
      <c r="I23" s="271"/>
      <c r="J23" s="271">
        <f>4701100000</f>
        <v>4701100000</v>
      </c>
      <c r="K23" s="13"/>
      <c r="M23" s="303"/>
    </row>
    <row r="24" spans="1:13" ht="17.25">
      <c r="A24" s="108" t="s">
        <v>376</v>
      </c>
      <c r="B24" s="89" t="s">
        <v>52</v>
      </c>
      <c r="C24" s="80" t="s">
        <v>402</v>
      </c>
      <c r="D24" s="96">
        <v>40.49</v>
      </c>
      <c r="E24" s="96">
        <v>37.22</v>
      </c>
      <c r="F24" s="107">
        <f t="shared" ref="F24:F30" si="0">AVERAGE(D24,E24)</f>
        <v>38.855000000000004</v>
      </c>
      <c r="G24" s="96">
        <v>38.340000000000003</v>
      </c>
      <c r="H24" s="271">
        <v>652869575</v>
      </c>
      <c r="I24" s="275"/>
      <c r="J24" s="271">
        <f>41000000+1873000000+20566000000</f>
        <v>22480000000</v>
      </c>
      <c r="K24" s="13"/>
      <c r="M24" s="301" t="s">
        <v>0</v>
      </c>
    </row>
    <row r="25" spans="1:13" ht="17.25">
      <c r="A25" s="108" t="s">
        <v>377</v>
      </c>
      <c r="B25" s="89" t="s">
        <v>47</v>
      </c>
      <c r="C25" s="80" t="s">
        <v>402</v>
      </c>
      <c r="D25" s="96">
        <v>76.11</v>
      </c>
      <c r="E25" s="107">
        <v>68.819999999999993</v>
      </c>
      <c r="F25" s="107">
        <f t="shared" si="0"/>
        <v>72.465000000000003</v>
      </c>
      <c r="G25" s="107">
        <v>69.930000000000007</v>
      </c>
      <c r="H25" s="275">
        <v>306400000</v>
      </c>
      <c r="I25" s="275">
        <v>224000000</v>
      </c>
      <c r="J25" s="271">
        <f>956000000+17807000000+135000000</f>
        <v>18898000000</v>
      </c>
      <c r="K25" s="13"/>
      <c r="M25" s="301" t="s">
        <v>0</v>
      </c>
    </row>
    <row r="26" spans="1:13" ht="17.25">
      <c r="A26" s="105" t="s">
        <v>378</v>
      </c>
      <c r="B26" s="89" t="s">
        <v>379</v>
      </c>
      <c r="C26" s="89" t="s">
        <v>373</v>
      </c>
      <c r="D26" s="107">
        <v>49.32</v>
      </c>
      <c r="E26" s="107">
        <v>43.46</v>
      </c>
      <c r="F26" s="107">
        <f t="shared" si="0"/>
        <v>46.39</v>
      </c>
      <c r="G26" s="107">
        <v>46.12</v>
      </c>
      <c r="H26" s="275">
        <v>100750110</v>
      </c>
      <c r="I26" s="271"/>
      <c r="J26" s="291">
        <f>3274055000+161645000</f>
        <v>3435700000</v>
      </c>
      <c r="K26" s="13"/>
      <c r="L26" s="314"/>
      <c r="M26" s="301" t="s">
        <v>0</v>
      </c>
    </row>
    <row r="27" spans="1:13" ht="17.25">
      <c r="A27" s="105" t="s">
        <v>380</v>
      </c>
      <c r="B27" s="89" t="s">
        <v>381</v>
      </c>
      <c r="C27" s="89" t="s">
        <v>373</v>
      </c>
      <c r="D27" s="107">
        <v>44.88</v>
      </c>
      <c r="E27" s="107">
        <v>40.75</v>
      </c>
      <c r="F27" s="107">
        <f t="shared" si="0"/>
        <v>42.814999999999998</v>
      </c>
      <c r="G27" s="107">
        <v>41.76</v>
      </c>
      <c r="H27" s="275">
        <v>478432058</v>
      </c>
      <c r="I27" s="271"/>
      <c r="J27" s="271">
        <f>15457800000+19700000</f>
        <v>15477500000</v>
      </c>
      <c r="K27" s="13"/>
      <c r="M27" s="301" t="s">
        <v>0</v>
      </c>
    </row>
    <row r="28" spans="1:13" ht="17.25">
      <c r="A28" s="292" t="s">
        <v>405</v>
      </c>
      <c r="B28" s="80" t="s">
        <v>382</v>
      </c>
      <c r="C28" s="89" t="s">
        <v>373</v>
      </c>
      <c r="D28" s="107">
        <v>49.63</v>
      </c>
      <c r="E28" s="107">
        <v>43.64</v>
      </c>
      <c r="F28" s="107">
        <f t="shared" si="0"/>
        <v>46.635000000000005</v>
      </c>
      <c r="G28" s="107">
        <v>46.74</v>
      </c>
      <c r="H28" s="275">
        <v>41563577</v>
      </c>
      <c r="I28" s="271"/>
      <c r="J28" s="302">
        <f>160627000+2272202000</f>
        <v>2432829000</v>
      </c>
      <c r="K28" s="13"/>
      <c r="L28" t="s">
        <v>0</v>
      </c>
      <c r="M28" s="301" t="s">
        <v>0</v>
      </c>
    </row>
    <row r="29" spans="1:13" ht="17.25">
      <c r="A29" s="292" t="s">
        <v>383</v>
      </c>
      <c r="B29" s="80" t="s">
        <v>384</v>
      </c>
      <c r="C29" s="89" t="s">
        <v>373</v>
      </c>
      <c r="D29" s="107">
        <v>83.96</v>
      </c>
      <c r="E29" s="107">
        <v>76.41</v>
      </c>
      <c r="F29" s="107">
        <f t="shared" si="0"/>
        <v>80.185000000000002</v>
      </c>
      <c r="G29" s="107">
        <v>77.25</v>
      </c>
      <c r="H29" s="275">
        <v>62692392</v>
      </c>
      <c r="I29" s="271"/>
      <c r="J29" s="271">
        <f>2356038000+249674000</f>
        <v>2605712000</v>
      </c>
      <c r="K29" s="13"/>
      <c r="M29" s="301" t="s">
        <v>0</v>
      </c>
    </row>
    <row r="30" spans="1:13" ht="17.25">
      <c r="A30" s="319" t="s">
        <v>404</v>
      </c>
      <c r="B30" s="80" t="s">
        <v>385</v>
      </c>
      <c r="C30" s="89" t="s">
        <v>373</v>
      </c>
      <c r="D30" s="107">
        <v>83.23</v>
      </c>
      <c r="E30" s="107">
        <v>76.739999999999995</v>
      </c>
      <c r="F30" s="107">
        <f t="shared" si="0"/>
        <v>79.984999999999999</v>
      </c>
      <c r="G30" s="107">
        <v>80.02</v>
      </c>
      <c r="H30" s="275">
        <v>72224593</v>
      </c>
      <c r="I30" s="271"/>
      <c r="J30" s="271">
        <f>75000000+3433012000</f>
        <v>3508012000</v>
      </c>
      <c r="K30" s="13"/>
      <c r="L30" t="s">
        <v>0</v>
      </c>
      <c r="M30" t="s">
        <v>0</v>
      </c>
    </row>
    <row r="31" spans="1:13" ht="17.25">
      <c r="A31" s="292" t="s">
        <v>400</v>
      </c>
      <c r="B31" s="80" t="s">
        <v>386</v>
      </c>
      <c r="C31" s="89" t="s">
        <v>373</v>
      </c>
      <c r="D31" s="107">
        <v>91.11</v>
      </c>
      <c r="E31" s="107">
        <v>81.42</v>
      </c>
      <c r="F31" s="107">
        <f>AVERAGE(D31,E31)</f>
        <v>86.265000000000001</v>
      </c>
      <c r="G31" s="107">
        <v>82.7</v>
      </c>
      <c r="H31" s="275">
        <v>59100000</v>
      </c>
      <c r="I31" s="271"/>
      <c r="J31" s="271">
        <f>488100000+4449400000</f>
        <v>4937500000</v>
      </c>
      <c r="K31" s="13"/>
      <c r="M31" s="301" t="s">
        <v>0</v>
      </c>
    </row>
    <row r="32" spans="1:13" ht="18" thickBot="1">
      <c r="A32" s="293" t="s">
        <v>44</v>
      </c>
      <c r="B32" s="81" t="s">
        <v>53</v>
      </c>
      <c r="C32" s="81" t="s">
        <v>402</v>
      </c>
      <c r="D32" s="307">
        <v>118.19</v>
      </c>
      <c r="E32" s="307">
        <v>109.25</v>
      </c>
      <c r="F32" s="305">
        <f>AVERAGE(D32,E32)</f>
        <v>113.72</v>
      </c>
      <c r="G32" s="307">
        <v>105.46</v>
      </c>
      <c r="H32" s="273">
        <v>325461519</v>
      </c>
      <c r="I32" s="110">
        <v>30400000</v>
      </c>
      <c r="J32" s="273">
        <f>1519400000+18498100000+372000000</f>
        <v>20389500000</v>
      </c>
      <c r="K32" s="13"/>
      <c r="L32" t="s">
        <v>0</v>
      </c>
      <c r="M32" s="275" t="s">
        <v>0</v>
      </c>
    </row>
    <row r="33" spans="1:12" ht="17.25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3"/>
    </row>
    <row r="34" spans="1:12" ht="17.25">
      <c r="A34" s="111"/>
      <c r="B34" s="111"/>
      <c r="C34" s="111"/>
      <c r="D34" s="111"/>
      <c r="E34" s="111"/>
      <c r="F34" s="111"/>
      <c r="G34" s="111"/>
      <c r="H34" s="111"/>
      <c r="I34" s="111"/>
      <c r="J34" s="111"/>
      <c r="K34" s="13"/>
      <c r="L34" t="s">
        <v>0</v>
      </c>
    </row>
    <row r="35" spans="1:12" ht="18" thickBot="1">
      <c r="A35" s="483" t="s">
        <v>0</v>
      </c>
      <c r="B35" s="112"/>
      <c r="C35" s="112"/>
      <c r="D35" s="112"/>
      <c r="E35" s="112"/>
      <c r="F35" s="30"/>
      <c r="G35" s="112"/>
      <c r="H35" s="112"/>
      <c r="I35" s="112"/>
      <c r="J35" s="111"/>
      <c r="K35" s="111"/>
      <c r="L35" s="4"/>
    </row>
    <row r="36" spans="1:12" ht="17.25">
      <c r="A36" s="113"/>
      <c r="B36" s="371"/>
      <c r="C36" s="114"/>
      <c r="D36" s="371"/>
      <c r="E36" s="115" t="s">
        <v>0</v>
      </c>
      <c r="F36" s="377" t="s">
        <v>0</v>
      </c>
      <c r="G36" s="116"/>
      <c r="H36" s="371"/>
      <c r="I36" s="371"/>
      <c r="J36" s="371"/>
      <c r="K36" s="111"/>
      <c r="L36" s="4"/>
    </row>
    <row r="37" spans="1:12" ht="18.600000000000001" customHeight="1">
      <c r="A37" s="88"/>
      <c r="B37" s="89"/>
      <c r="C37" s="90"/>
      <c r="D37" s="93" t="s">
        <v>499</v>
      </c>
      <c r="E37" s="94" t="s">
        <v>499</v>
      </c>
      <c r="F37" s="93" t="s">
        <v>499</v>
      </c>
      <c r="G37" s="94" t="s">
        <v>499</v>
      </c>
      <c r="H37" s="93" t="s">
        <v>499</v>
      </c>
      <c r="I37" s="93" t="s">
        <v>499</v>
      </c>
      <c r="J37" s="93" t="s">
        <v>499</v>
      </c>
      <c r="K37" s="13"/>
      <c r="L37" s="5"/>
    </row>
    <row r="38" spans="1:12" ht="17.25">
      <c r="A38" s="88" t="s">
        <v>0</v>
      </c>
      <c r="B38" s="89" t="s">
        <v>3</v>
      </c>
      <c r="C38" s="90" t="s">
        <v>5</v>
      </c>
      <c r="D38" s="89" t="s">
        <v>12</v>
      </c>
      <c r="E38" s="106" t="s">
        <v>160</v>
      </c>
      <c r="F38" s="96" t="s">
        <v>289</v>
      </c>
      <c r="G38" s="90" t="s">
        <v>219</v>
      </c>
      <c r="H38" s="96" t="s">
        <v>16</v>
      </c>
      <c r="I38" s="96" t="s">
        <v>17</v>
      </c>
      <c r="J38" s="96" t="s">
        <v>66</v>
      </c>
      <c r="K38" s="13"/>
      <c r="L38" s="5"/>
    </row>
    <row r="39" spans="1:12" ht="18" thickBot="1">
      <c r="A39" s="97" t="s">
        <v>2</v>
      </c>
      <c r="B39" s="98" t="s">
        <v>4</v>
      </c>
      <c r="C39" s="99" t="s">
        <v>6</v>
      </c>
      <c r="D39" s="98" t="s">
        <v>14</v>
      </c>
      <c r="E39" s="99" t="s">
        <v>14</v>
      </c>
      <c r="F39" s="98" t="s">
        <v>302</v>
      </c>
      <c r="G39" s="99" t="s">
        <v>14</v>
      </c>
      <c r="H39" s="98" t="s">
        <v>354</v>
      </c>
      <c r="I39" s="98" t="s">
        <v>0</v>
      </c>
      <c r="J39" s="98" t="s">
        <v>353</v>
      </c>
      <c r="K39" s="13"/>
      <c r="L39" s="1"/>
    </row>
    <row r="40" spans="1:12" ht="16.5">
      <c r="A40" s="244" t="s">
        <v>7</v>
      </c>
      <c r="B40" s="245" t="s">
        <v>7</v>
      </c>
      <c r="C40" s="294" t="s">
        <v>7</v>
      </c>
      <c r="D40" s="245" t="s">
        <v>15</v>
      </c>
      <c r="E40" s="294" t="s">
        <v>8</v>
      </c>
      <c r="F40" s="245" t="s">
        <v>8</v>
      </c>
      <c r="G40" s="294" t="s">
        <v>8</v>
      </c>
      <c r="H40" s="245" t="s">
        <v>15</v>
      </c>
      <c r="I40" s="245" t="s">
        <v>15</v>
      </c>
      <c r="J40" s="245" t="s">
        <v>15</v>
      </c>
      <c r="K40" s="13"/>
      <c r="L40" s="5"/>
    </row>
    <row r="41" spans="1:12" ht="17.25">
      <c r="A41" s="88"/>
      <c r="B41" s="89"/>
      <c r="C41" s="90"/>
      <c r="D41" s="374"/>
      <c r="E41" s="111"/>
      <c r="F41" s="374"/>
      <c r="G41" s="111"/>
      <c r="H41" s="104"/>
      <c r="I41" s="104"/>
      <c r="J41" s="104"/>
      <c r="K41" s="13"/>
      <c r="L41" s="4"/>
    </row>
    <row r="42" spans="1:12" ht="17.25">
      <c r="A42" s="105" t="str">
        <f t="shared" ref="A42:C45" si="1">+A22</f>
        <v>Atmos Energy Corp</v>
      </c>
      <c r="B42" s="89" t="str">
        <f t="shared" si="1"/>
        <v>ATO</v>
      </c>
      <c r="C42" s="90" t="str">
        <f t="shared" si="1"/>
        <v>Gas Utility</v>
      </c>
      <c r="D42" s="375">
        <f>(+H22)*G22</f>
        <v>27083708209.919998</v>
      </c>
      <c r="E42" s="299">
        <f>(1/1)*I22</f>
        <v>0</v>
      </c>
      <c r="F42" s="375">
        <v>45010000</v>
      </c>
      <c r="G42" s="119">
        <f>(77/78.8)*J22</f>
        <v>8715211776.6497459</v>
      </c>
      <c r="H42" s="271">
        <f>+D42+E42+F42+G42</f>
        <v>35843929986.569748</v>
      </c>
      <c r="I42" s="372">
        <f t="shared" ref="I42:I52" si="2">(+D42)/H42</f>
        <v>0.75560096842248914</v>
      </c>
      <c r="J42" s="372">
        <f>(+E42+F42+G42)/H42</f>
        <v>0.24439903157751081</v>
      </c>
      <c r="K42" s="13"/>
      <c r="L42" s="4"/>
    </row>
    <row r="43" spans="1:12" ht="17.25">
      <c r="A43" s="105" t="str">
        <f t="shared" si="1"/>
        <v>Black Hills Corporation</v>
      </c>
      <c r="B43" s="89" t="str">
        <f t="shared" si="1"/>
        <v>BKH</v>
      </c>
      <c r="C43" s="35" t="str">
        <f t="shared" si="1"/>
        <v>Electric Utility - West</v>
      </c>
      <c r="D43" s="375">
        <f>(+H23)*G23</f>
        <v>5239617991.1400003</v>
      </c>
      <c r="E43" s="119">
        <f>(194.8/200)*I23</f>
        <v>0</v>
      </c>
      <c r="F43" s="375"/>
      <c r="G43" s="119">
        <f>(4701.1/4639)*J23</f>
        <v>4764031302.0047426</v>
      </c>
      <c r="H43" s="271">
        <f t="shared" ref="H43:H52" si="3">+D43+E43+F43+G43</f>
        <v>10003649293.144743</v>
      </c>
      <c r="I43" s="372">
        <f t="shared" si="2"/>
        <v>0.52377065984616067</v>
      </c>
      <c r="J43" s="372">
        <f t="shared" ref="J43:J51" si="4">(+E43+F43+G43)/H43</f>
        <v>0.47622934015383939</v>
      </c>
      <c r="K43" s="13"/>
      <c r="L43" s="4"/>
    </row>
    <row r="44" spans="1:12" ht="17.25">
      <c r="A44" s="105" t="str">
        <f t="shared" si="1"/>
        <v>CenterPoint Energy Inc.</v>
      </c>
      <c r="B44" s="89" t="str">
        <f t="shared" si="1"/>
        <v>CNP</v>
      </c>
      <c r="C44" s="35" t="str">
        <f t="shared" si="1"/>
        <v>Electric Utility - Central</v>
      </c>
      <c r="D44" s="375">
        <f>(+H24)*G24</f>
        <v>25031019505.500004</v>
      </c>
      <c r="E44" s="119">
        <f>(1/1)*I24</f>
        <v>0</v>
      </c>
      <c r="F44" s="375">
        <v>62000000</v>
      </c>
      <c r="G44" s="119">
        <f>(22980/22377)*J24</f>
        <v>23085775573.133125</v>
      </c>
      <c r="H44" s="271">
        <f t="shared" si="3"/>
        <v>48178795078.633133</v>
      </c>
      <c r="I44" s="372">
        <f t="shared" si="2"/>
        <v>0.51954432369357939</v>
      </c>
      <c r="J44" s="372">
        <f t="shared" si="4"/>
        <v>0.4804556763064205</v>
      </c>
      <c r="K44" s="13"/>
      <c r="L44" s="4"/>
    </row>
    <row r="45" spans="1:12" ht="17.25">
      <c r="A45" s="105" t="str">
        <f t="shared" si="1"/>
        <v>CMS Energy Corporation</v>
      </c>
      <c r="B45" s="89" t="str">
        <f t="shared" si="1"/>
        <v>CMS</v>
      </c>
      <c r="C45" s="35" t="str">
        <f t="shared" si="1"/>
        <v>Electric Utility - Central</v>
      </c>
      <c r="D45" s="375">
        <f>(+H25)*G25</f>
        <v>21426552000.000004</v>
      </c>
      <c r="E45" s="119">
        <f>(1/1)*I25</f>
        <v>224000000</v>
      </c>
      <c r="F45" s="375">
        <f>3000000+19000000</f>
        <v>22000000</v>
      </c>
      <c r="G45" s="119">
        <f>(18757/17645)*J25</f>
        <v>20088964919.240578</v>
      </c>
      <c r="H45" s="271">
        <f t="shared" si="3"/>
        <v>41761516919.240585</v>
      </c>
      <c r="I45" s="372">
        <f t="shared" si="2"/>
        <v>0.51306929394914413</v>
      </c>
      <c r="J45" s="372">
        <f t="shared" si="4"/>
        <v>0.48693070605085575</v>
      </c>
      <c r="K45" s="13"/>
      <c r="L45" s="4"/>
    </row>
    <row r="46" spans="1:12" ht="17.25">
      <c r="A46" s="105" t="str">
        <f t="shared" ref="A46:C52" si="5">+A26</f>
        <v>New Jersey Resources Corp</v>
      </c>
      <c r="B46" s="89" t="str">
        <f t="shared" si="5"/>
        <v>NJR</v>
      </c>
      <c r="C46" s="90" t="str">
        <f t="shared" si="5"/>
        <v>Gas Utility</v>
      </c>
      <c r="D46" s="375">
        <f t="shared" ref="D46:D52" si="6">(+H26)*G26</f>
        <v>4646595073.1999998</v>
      </c>
      <c r="E46" s="119">
        <f t="shared" ref="E46:E52" si="7">(1/1)*I26</f>
        <v>0</v>
      </c>
      <c r="F46" s="375">
        <f>4694000+162984000</f>
        <v>167678000</v>
      </c>
      <c r="G46" s="119">
        <f>(2613368/2917845)*J26</f>
        <v>3077184853.0679321</v>
      </c>
      <c r="H46" s="271">
        <f t="shared" si="3"/>
        <v>7891457926.2679319</v>
      </c>
      <c r="I46" s="372">
        <f t="shared" si="2"/>
        <v>0.5888132606945915</v>
      </c>
      <c r="J46" s="372">
        <f t="shared" si="4"/>
        <v>0.41118673930540856</v>
      </c>
      <c r="K46" s="13"/>
      <c r="L46" s="4"/>
    </row>
    <row r="47" spans="1:12" ht="17.25">
      <c r="A47" s="105" t="str">
        <f t="shared" si="5"/>
        <v>NISOURCE Inc.</v>
      </c>
      <c r="B47" s="89" t="str">
        <f t="shared" si="5"/>
        <v>NI</v>
      </c>
      <c r="C47" s="90" t="str">
        <f t="shared" si="5"/>
        <v>Gas Utility</v>
      </c>
      <c r="D47" s="375">
        <f t="shared" si="6"/>
        <v>19979322742.079998</v>
      </c>
      <c r="E47" s="119">
        <f t="shared" si="7"/>
        <v>0</v>
      </c>
      <c r="F47" s="375">
        <f>9700000+17200000</f>
        <v>26900000</v>
      </c>
      <c r="G47" s="119">
        <f>(14975.3/15477.5)*J27</f>
        <v>14975300000</v>
      </c>
      <c r="H47" s="271">
        <f>+D47+E47+F47+G47</f>
        <v>34981522742.080002</v>
      </c>
      <c r="I47" s="372">
        <f>(+D47)/H47</f>
        <v>0.57113930944025071</v>
      </c>
      <c r="J47" s="372">
        <f>(+E47+F47+G47)/H47</f>
        <v>0.42886069055974918</v>
      </c>
      <c r="K47" s="13"/>
      <c r="L47" s="4"/>
    </row>
    <row r="48" spans="1:12" ht="17.25">
      <c r="A48" s="105" t="str">
        <f t="shared" si="5"/>
        <v xml:space="preserve">Northwest Natural Holding Company </v>
      </c>
      <c r="B48" s="89" t="str">
        <f t="shared" si="5"/>
        <v>NWN</v>
      </c>
      <c r="C48" s="90" t="str">
        <f t="shared" si="5"/>
        <v>Gas Utility</v>
      </c>
      <c r="D48" s="375">
        <f t="shared" si="6"/>
        <v>1942681588.98</v>
      </c>
      <c r="E48" s="119">
        <f t="shared" si="7"/>
        <v>0</v>
      </c>
      <c r="F48" s="375">
        <f>2515000+73097000</f>
        <v>75612000</v>
      </c>
      <c r="G48" s="342">
        <f>(1383.1/1534.9)*J28</f>
        <v>2192224763.7631111</v>
      </c>
      <c r="H48" s="271">
        <f>+D48+E48+F48+G48</f>
        <v>4210518352.7431111</v>
      </c>
      <c r="I48" s="372">
        <f t="shared" si="2"/>
        <v>0.46138774997011051</v>
      </c>
      <c r="J48" s="372">
        <f>(+E48+F48+G48)/H48</f>
        <v>0.53861225002988955</v>
      </c>
      <c r="K48" s="13"/>
      <c r="L48" s="4"/>
    </row>
    <row r="49" spans="1:12" ht="17.25">
      <c r="A49" s="105" t="str">
        <f t="shared" si="5"/>
        <v>One Gas INC</v>
      </c>
      <c r="B49" s="89" t="str">
        <f t="shared" si="5"/>
        <v>OGS</v>
      </c>
      <c r="C49" s="90" t="str">
        <f t="shared" si="5"/>
        <v>Gas Utility</v>
      </c>
      <c r="D49" s="375">
        <f t="shared" si="6"/>
        <v>4842987282</v>
      </c>
      <c r="E49" s="119">
        <f t="shared" si="7"/>
        <v>0</v>
      </c>
      <c r="F49" s="375">
        <v>12500000</v>
      </c>
      <c r="G49" s="271">
        <f>(2500000000/(2356038000+249674000))*J29</f>
        <v>2500000000</v>
      </c>
      <c r="H49" s="271">
        <f t="shared" si="3"/>
        <v>7355487282</v>
      </c>
      <c r="I49" s="372">
        <f t="shared" si="2"/>
        <v>0.65841827962255184</v>
      </c>
      <c r="J49" s="372">
        <f t="shared" si="4"/>
        <v>0.34158172037744816</v>
      </c>
      <c r="K49" s="13"/>
      <c r="L49" s="4"/>
    </row>
    <row r="50" spans="1:12" ht="17.25">
      <c r="A50" s="105" t="str">
        <f>+A30</f>
        <v>Southwest Gas Holdings, Inc</v>
      </c>
      <c r="B50" s="89" t="str">
        <f t="shared" si="5"/>
        <v>SWX</v>
      </c>
      <c r="C50" s="90" t="str">
        <f t="shared" si="5"/>
        <v>Gas Utility</v>
      </c>
      <c r="D50" s="375">
        <f t="shared" si="6"/>
        <v>5779411931.8599997</v>
      </c>
      <c r="E50" s="119">
        <f t="shared" si="7"/>
        <v>0</v>
      </c>
      <c r="F50" s="375">
        <v>0</v>
      </c>
      <c r="G50" s="119">
        <f>((76388+26058+7726+309090+297450+307620+409365+579540+130762+219350+228180+237120+205710+50000+50000+50000+50000)/3433012)*J30</f>
        <v>3305019086.5362544</v>
      </c>
      <c r="H50" s="271">
        <f t="shared" si="3"/>
        <v>9084431018.3962536</v>
      </c>
      <c r="I50" s="372">
        <f t="shared" si="2"/>
        <v>0.63618865288937876</v>
      </c>
      <c r="J50" s="372">
        <f t="shared" si="4"/>
        <v>0.3638113471106213</v>
      </c>
      <c r="K50" s="13"/>
      <c r="L50" s="4"/>
    </row>
    <row r="51" spans="1:12" ht="17.25">
      <c r="A51" s="105" t="str">
        <f t="shared" si="5"/>
        <v>Spire Inc / Laclede Group Inc</v>
      </c>
      <c r="B51" s="89" t="str">
        <f t="shared" si="5"/>
        <v>SR</v>
      </c>
      <c r="C51" s="90" t="str">
        <f t="shared" si="5"/>
        <v>Gas Utility</v>
      </c>
      <c r="D51" s="375">
        <f t="shared" si="6"/>
        <v>4887570000</v>
      </c>
      <c r="E51" s="119">
        <f t="shared" si="7"/>
        <v>0</v>
      </c>
      <c r="F51" s="375">
        <v>0</v>
      </c>
      <c r="G51" s="119">
        <f>(4822.3/4937.5)*J31</f>
        <v>4822300000</v>
      </c>
      <c r="H51" s="271">
        <f t="shared" si="3"/>
        <v>9709870000</v>
      </c>
      <c r="I51" s="372">
        <f t="shared" si="2"/>
        <v>0.50336101307226566</v>
      </c>
      <c r="J51" s="372">
        <f t="shared" si="4"/>
        <v>0.49663898692773434</v>
      </c>
      <c r="K51" s="13"/>
      <c r="L51" s="4"/>
    </row>
    <row r="52" spans="1:12" ht="18" thickBot="1">
      <c r="A52" s="109" t="str">
        <f t="shared" si="5"/>
        <v>WEC Energy Group</v>
      </c>
      <c r="B52" s="98" t="str">
        <f t="shared" si="5"/>
        <v>WEC</v>
      </c>
      <c r="C52" s="37" t="str">
        <f t="shared" si="5"/>
        <v>Electric Utility - Central</v>
      </c>
      <c r="D52" s="376">
        <f t="shared" si="6"/>
        <v>34323171793.739998</v>
      </c>
      <c r="E52" s="278">
        <f t="shared" si="7"/>
        <v>30400000</v>
      </c>
      <c r="F52" s="376">
        <f>(3100000+73000000)</f>
        <v>76100000</v>
      </c>
      <c r="G52" s="376">
        <f>(19609.1/20017.5)*J32</f>
        <v>19973510400.899212</v>
      </c>
      <c r="H52" s="273">
        <f t="shared" si="3"/>
        <v>54403182194.639206</v>
      </c>
      <c r="I52" s="373">
        <f t="shared" si="2"/>
        <v>0.63090375248531216</v>
      </c>
      <c r="J52" s="373">
        <f>(+E52+F52+G52)/H52</f>
        <v>0.36909624751468784</v>
      </c>
      <c r="K52" s="13"/>
      <c r="L52" s="4"/>
    </row>
    <row r="53" spans="1:12" ht="17.25">
      <c r="A53" s="13"/>
      <c r="B53" s="13"/>
      <c r="C53" s="13"/>
      <c r="D53" s="13"/>
      <c r="E53" s="13"/>
      <c r="F53" s="13"/>
      <c r="G53" s="13"/>
      <c r="H53" s="120" t="s">
        <v>56</v>
      </c>
      <c r="I53" s="124">
        <f>MAX(I42:I52)</f>
        <v>0.75560096842248914</v>
      </c>
      <c r="J53" s="124">
        <f>MAX(J42:J52)</f>
        <v>0.53861225002988955</v>
      </c>
      <c r="K53" s="13"/>
    </row>
    <row r="54" spans="1:12" ht="17.25">
      <c r="F54" s="393"/>
      <c r="G54" s="13"/>
      <c r="H54" s="279" t="s">
        <v>57</v>
      </c>
      <c r="I54" s="280">
        <f>MIN(I42:I52)</f>
        <v>0.46138774997011051</v>
      </c>
      <c r="J54" s="280">
        <f>MIN(J42:J52)</f>
        <v>0.24439903157751081</v>
      </c>
      <c r="K54" s="13"/>
    </row>
    <row r="55" spans="1:12" ht="17.25">
      <c r="F55" t="s">
        <v>0</v>
      </c>
      <c r="H55" s="15" t="s">
        <v>18</v>
      </c>
      <c r="I55" s="122">
        <f>MEDIAN(I42:I52)</f>
        <v>0.57113930944025071</v>
      </c>
      <c r="J55" s="123">
        <f>MEDIAN(J42:J52)</f>
        <v>0.42886069055974918</v>
      </c>
      <c r="K55" s="13"/>
    </row>
    <row r="56" spans="1:12" ht="17.25">
      <c r="D56" t="s">
        <v>0</v>
      </c>
      <c r="G56" s="13" t="s">
        <v>0</v>
      </c>
      <c r="H56" s="15" t="s">
        <v>413</v>
      </c>
      <c r="I56" s="122">
        <f>AVERAGE(I42:I52)</f>
        <v>0.57838156946234853</v>
      </c>
      <c r="J56" s="123">
        <f>AVERAGE(J42:J52)</f>
        <v>0.42161843053765136</v>
      </c>
      <c r="K56" s="13"/>
    </row>
    <row r="57" spans="1:12" ht="18" thickBot="1">
      <c r="D57" t="s">
        <v>0</v>
      </c>
      <c r="F57" t="s">
        <v>0</v>
      </c>
      <c r="G57" s="13"/>
      <c r="H57" s="13"/>
      <c r="I57" s="63"/>
      <c r="J57" s="63"/>
      <c r="K57" s="13"/>
    </row>
    <row r="58" spans="1:12" ht="27" thickBot="1">
      <c r="F58" t="s">
        <v>0</v>
      </c>
      <c r="G58" s="13"/>
      <c r="H58" s="184" t="s">
        <v>221</v>
      </c>
      <c r="I58" s="361">
        <v>0.57999999999999996</v>
      </c>
      <c r="J58" s="362">
        <v>0.42</v>
      </c>
      <c r="K58" s="13"/>
    </row>
    <row r="59" spans="1:12" ht="17.25">
      <c r="E59" s="121"/>
      <c r="F59" s="13"/>
      <c r="G59" s="13"/>
      <c r="H59" s="13"/>
      <c r="I59" s="63"/>
      <c r="J59" s="63" t="s">
        <v>0</v>
      </c>
      <c r="K59" s="13"/>
    </row>
    <row r="60" spans="1:12" ht="16.5">
      <c r="E60" s="121"/>
      <c r="F60" s="13"/>
      <c r="G60" s="13"/>
      <c r="H60" s="13"/>
      <c r="I60" s="13"/>
      <c r="J60" s="13"/>
      <c r="K60" s="13"/>
    </row>
    <row r="61" spans="1:12" ht="16.5">
      <c r="E61" s="121"/>
      <c r="F61" s="13"/>
      <c r="G61" s="13"/>
      <c r="H61" s="13"/>
      <c r="I61" s="13"/>
      <c r="J61" s="13"/>
      <c r="K61" s="13"/>
    </row>
    <row r="62" spans="1:12" ht="26.25">
      <c r="A62" s="24" t="s">
        <v>90</v>
      </c>
      <c r="B62" s="13"/>
      <c r="C62" s="75"/>
      <c r="D62" s="125"/>
      <c r="E62" s="121"/>
      <c r="F62" s="13"/>
      <c r="G62" s="13"/>
      <c r="I62" s="13"/>
      <c r="J62" s="13"/>
      <c r="K62" s="13"/>
    </row>
    <row r="63" spans="1:12" ht="16.5">
      <c r="A63" s="86" t="s">
        <v>72</v>
      </c>
      <c r="B63" s="13"/>
      <c r="C63" s="75"/>
      <c r="D63" s="125"/>
      <c r="E63" s="121"/>
      <c r="F63" s="13"/>
      <c r="G63" s="13"/>
      <c r="I63" s="13"/>
      <c r="J63" s="13"/>
      <c r="K63" s="13"/>
    </row>
    <row r="64" spans="1:12" ht="16.5">
      <c r="A64" s="13" t="s">
        <v>164</v>
      </c>
      <c r="H64" s="121"/>
    </row>
    <row r="65" spans="1:8" ht="16.5">
      <c r="A65" s="13" t="s">
        <v>162</v>
      </c>
      <c r="H65" s="121"/>
    </row>
    <row r="66" spans="1:8" ht="16.5">
      <c r="A66" s="13" t="s">
        <v>163</v>
      </c>
      <c r="H66" s="121"/>
    </row>
    <row r="67" spans="1:8" ht="16.5">
      <c r="A67" s="13" t="s">
        <v>307</v>
      </c>
      <c r="H67" s="121"/>
    </row>
    <row r="68" spans="1:8" ht="16.5">
      <c r="H68" s="121"/>
    </row>
    <row r="69" spans="1:8" ht="16.5">
      <c r="H69" s="121"/>
    </row>
    <row r="70" spans="1:8" ht="26.25">
      <c r="A70" s="295" t="s">
        <v>308</v>
      </c>
      <c r="H70" s="121"/>
    </row>
    <row r="71" spans="1:8" ht="16.5">
      <c r="A71" s="296" t="s">
        <v>387</v>
      </c>
      <c r="B71" s="297"/>
      <c r="C71" s="297"/>
      <c r="D71" s="285"/>
      <c r="E71" s="285"/>
      <c r="H71" s="121"/>
    </row>
    <row r="72" spans="1:8" ht="16.5">
      <c r="A72" s="296" t="s">
        <v>388</v>
      </c>
      <c r="B72" s="285"/>
      <c r="C72" s="285"/>
      <c r="D72" s="285"/>
      <c r="E72" s="285"/>
      <c r="H72" s="121"/>
    </row>
    <row r="73" spans="1:8" ht="17.25">
      <c r="A73" s="276" t="s">
        <v>363</v>
      </c>
      <c r="B73" s="285"/>
      <c r="C73" s="285"/>
      <c r="D73" s="285"/>
      <c r="E73" s="285"/>
      <c r="H73" s="121"/>
    </row>
    <row r="74" spans="1:8" ht="16.5">
      <c r="A74" s="296" t="s">
        <v>389</v>
      </c>
      <c r="B74" s="285"/>
      <c r="C74" s="285"/>
      <c r="D74" s="285"/>
      <c r="E74" s="285"/>
      <c r="H74" s="121"/>
    </row>
    <row r="75" spans="1:8" ht="16.5">
      <c r="A75" s="129" t="s">
        <v>390</v>
      </c>
      <c r="B75" s="285"/>
      <c r="C75" s="285"/>
      <c r="D75" s="285"/>
      <c r="E75" s="285"/>
      <c r="H75" s="121"/>
    </row>
    <row r="76" spans="1:8" ht="16.5">
      <c r="A76" s="13"/>
      <c r="H76" s="121"/>
    </row>
    <row r="77" spans="1:8" ht="26.25">
      <c r="A77" s="295" t="s">
        <v>391</v>
      </c>
      <c r="H77" s="121"/>
    </row>
    <row r="78" spans="1:8" ht="16.5">
      <c r="A78" s="306" t="s">
        <v>392</v>
      </c>
      <c r="H78" s="121"/>
    </row>
    <row r="79" spans="1:8" ht="16.5">
      <c r="A79" s="306" t="s">
        <v>393</v>
      </c>
      <c r="H79" s="121"/>
    </row>
    <row r="80" spans="1:8" ht="16.5">
      <c r="A80" s="296" t="s">
        <v>394</v>
      </c>
      <c r="H80" s="121"/>
    </row>
    <row r="81" spans="1:8" ht="16.5">
      <c r="A81" s="296" t="s">
        <v>395</v>
      </c>
      <c r="H81" s="121"/>
    </row>
    <row r="82" spans="1:8" ht="16.5">
      <c r="A82" s="129" t="s">
        <v>396</v>
      </c>
      <c r="H82" s="393"/>
    </row>
    <row r="83" spans="1:8" ht="26.25">
      <c r="A83" s="298"/>
    </row>
    <row r="84" spans="1:8" ht="26.25">
      <c r="A84" s="295" t="s">
        <v>397</v>
      </c>
    </row>
    <row r="85" spans="1:8" ht="16.5">
      <c r="A85" s="485" t="s">
        <v>398</v>
      </c>
      <c r="B85" s="297"/>
      <c r="C85" s="297"/>
      <c r="D85" s="285"/>
      <c r="E85" s="285"/>
    </row>
  </sheetData>
  <pageMargins left="0.25" right="0.25" top="0.75" bottom="0.75" header="0.3" footer="0.3"/>
  <pageSetup scale="33" orientation="landscape" r:id="rId1"/>
  <rowBreaks count="1" manualBreakCount="1">
    <brk id="58" max="11" man="1"/>
  </rowBreaks>
  <colBreaks count="1" manualBreakCount="1">
    <brk id="11" max="88" man="1"/>
  </colBreaks>
  <ignoredErrors>
    <ignoredError sqref="E43" 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FF50-7DB7-41D1-AD2F-655311479817}">
  <sheetPr>
    <tabColor rgb="FF92D050"/>
    <pageSetUpPr fitToPage="1"/>
  </sheetPr>
  <dimension ref="A1:J68"/>
  <sheetViews>
    <sheetView view="pageBreakPreview" zoomScale="70" zoomScaleNormal="80" zoomScaleSheetLayoutView="70" zoomScalePageLayoutView="70" workbookViewId="0">
      <pane xSplit="1" topLeftCell="B1" activePane="topRight" state="frozen"/>
      <selection activeCell="F4" sqref="F4"/>
      <selection pane="topRight" activeCell="F4" sqref="F4:F5"/>
    </sheetView>
  </sheetViews>
  <sheetFormatPr defaultRowHeight="15"/>
  <cols>
    <col min="1" max="1" width="62.42578125" customWidth="1"/>
    <col min="2" max="2" width="11.5703125" bestFit="1" customWidth="1"/>
    <col min="3" max="3" width="26.28515625" customWidth="1"/>
    <col min="4" max="4" width="30.140625" customWidth="1"/>
    <col min="5" max="5" width="28" customWidth="1"/>
    <col min="6" max="6" width="29.140625" customWidth="1"/>
    <col min="7" max="7" width="23.42578125" customWidth="1"/>
    <col min="8" max="8" width="12.85546875" customWidth="1"/>
    <col min="9" max="9" width="25.85546875" bestFit="1" customWidth="1"/>
    <col min="10" max="10" width="30.140625" bestFit="1" customWidth="1"/>
    <col min="11" max="11" width="9.140625" customWidth="1"/>
  </cols>
  <sheetData>
    <row r="1" spans="1:9" ht="26.25">
      <c r="A1" s="25" t="s">
        <v>1</v>
      </c>
      <c r="B1" s="13"/>
      <c r="C1" s="13"/>
      <c r="D1" s="13"/>
      <c r="E1" s="13"/>
      <c r="F1" s="13"/>
      <c r="G1" s="13"/>
      <c r="H1" s="13"/>
    </row>
    <row r="2" spans="1:9" ht="17.25">
      <c r="A2" s="26" t="s">
        <v>9</v>
      </c>
      <c r="B2" s="13"/>
      <c r="C2" s="13"/>
      <c r="D2" s="13"/>
      <c r="E2" s="13"/>
      <c r="F2" s="13"/>
      <c r="G2" s="13"/>
      <c r="H2" s="13"/>
    </row>
    <row r="3" spans="1:9" ht="16.5">
      <c r="A3" s="27" t="s">
        <v>485</v>
      </c>
      <c r="B3" s="13"/>
      <c r="C3" s="13"/>
      <c r="D3" s="13"/>
      <c r="E3" s="13"/>
      <c r="F3" s="13"/>
      <c r="G3" s="13"/>
      <c r="H3" s="13"/>
    </row>
    <row r="4" spans="1:9" ht="16.5">
      <c r="A4" s="27"/>
      <c r="B4" s="13"/>
      <c r="C4" s="13"/>
      <c r="D4" s="13"/>
      <c r="E4" s="13"/>
      <c r="F4" s="484" t="s">
        <v>0</v>
      </c>
      <c r="G4" s="13"/>
      <c r="H4" s="13"/>
    </row>
    <row r="5" spans="1:9" ht="16.5">
      <c r="B5" s="13"/>
      <c r="C5" s="13"/>
      <c r="D5" s="13"/>
      <c r="E5" s="28"/>
      <c r="F5" s="484" t="s">
        <v>0</v>
      </c>
      <c r="G5" s="13"/>
      <c r="H5" s="13" t="s">
        <v>0</v>
      </c>
    </row>
    <row r="6" spans="1:9" ht="16.5">
      <c r="A6" s="86"/>
      <c r="B6" s="35"/>
      <c r="C6" s="35"/>
      <c r="D6" s="35"/>
      <c r="E6" s="35"/>
      <c r="F6" s="35"/>
      <c r="G6" s="15"/>
      <c r="H6" s="85"/>
      <c r="I6" s="3"/>
    </row>
    <row r="7" spans="1:9" ht="16.5">
      <c r="A7" s="44"/>
      <c r="B7" s="44"/>
      <c r="C7" s="44"/>
      <c r="D7" s="44"/>
      <c r="E7" s="44"/>
      <c r="F7" s="44"/>
      <c r="G7" s="44"/>
      <c r="H7" s="44"/>
      <c r="I7" s="2"/>
    </row>
    <row r="8" spans="1:9" ht="17.25" thickBot="1">
      <c r="A8" s="44"/>
      <c r="B8" s="44"/>
      <c r="C8" s="44"/>
      <c r="D8" s="87"/>
      <c r="E8" s="30"/>
      <c r="F8" s="87"/>
      <c r="H8" s="44"/>
      <c r="I8" s="2"/>
    </row>
    <row r="9" spans="1:9" ht="27" thickBot="1">
      <c r="A9" s="29" t="str">
        <f>+'S&amp;D'!A12</f>
        <v>Natural Gas Utility Distribution</v>
      </c>
      <c r="B9" s="44"/>
      <c r="C9" s="44"/>
      <c r="D9" s="44"/>
      <c r="E9" s="32" t="s">
        <v>300</v>
      </c>
      <c r="F9" s="44"/>
      <c r="H9" s="13"/>
    </row>
    <row r="10" spans="1:9" ht="21" thickBot="1">
      <c r="A10" s="31"/>
      <c r="B10" s="44"/>
      <c r="C10" s="44"/>
      <c r="D10" s="87"/>
      <c r="E10" s="37" t="s">
        <v>498</v>
      </c>
      <c r="F10" s="87"/>
      <c r="H10" s="13"/>
    </row>
    <row r="11" spans="1:9" ht="20.25">
      <c r="A11" s="31"/>
      <c r="B11" s="44"/>
      <c r="C11" s="44"/>
      <c r="D11" s="44"/>
      <c r="E11" s="35"/>
      <c r="F11" s="44"/>
      <c r="H11" s="13"/>
    </row>
    <row r="12" spans="1:9" ht="20.25">
      <c r="A12" s="31"/>
      <c r="B12" s="44"/>
      <c r="C12" s="44"/>
      <c r="D12" s="44"/>
      <c r="E12" s="35"/>
      <c r="F12" s="44"/>
      <c r="H12" s="13"/>
    </row>
    <row r="13" spans="1:9" ht="20.25">
      <c r="A13" s="31"/>
      <c r="B13" s="44"/>
      <c r="C13" s="44"/>
      <c r="D13" s="44"/>
      <c r="E13" s="35"/>
      <c r="F13" s="44"/>
      <c r="H13" s="13"/>
    </row>
    <row r="14" spans="1:9" ht="20.25">
      <c r="A14" s="31"/>
      <c r="B14" s="44"/>
      <c r="C14" s="44"/>
      <c r="D14" s="44"/>
      <c r="E14" s="14" t="s">
        <v>0</v>
      </c>
      <c r="F14" s="44"/>
      <c r="H14" s="13"/>
    </row>
    <row r="15" spans="1:9" ht="17.25" thickBot="1">
      <c r="A15" s="42" t="s">
        <v>0</v>
      </c>
      <c r="B15" s="42" t="s">
        <v>0</v>
      </c>
      <c r="C15" s="42" t="s">
        <v>0</v>
      </c>
      <c r="D15" s="42"/>
      <c r="E15" s="42"/>
      <c r="F15" s="42"/>
      <c r="H15" s="13"/>
    </row>
    <row r="16" spans="1:9" ht="17.25">
      <c r="A16" s="88"/>
      <c r="B16" s="89"/>
      <c r="C16" s="90"/>
      <c r="D16" s="213" t="s">
        <v>0</v>
      </c>
      <c r="E16" s="214" t="s">
        <v>0</v>
      </c>
      <c r="F16" s="213" t="s">
        <v>0</v>
      </c>
      <c r="H16" s="13"/>
    </row>
    <row r="17" spans="1:10" ht="17.25">
      <c r="A17" s="88" t="s">
        <v>0</v>
      </c>
      <c r="B17" s="89" t="s">
        <v>3</v>
      </c>
      <c r="C17" s="90" t="s">
        <v>5</v>
      </c>
      <c r="D17" s="91" t="s">
        <v>290</v>
      </c>
      <c r="E17" s="215" t="s">
        <v>79</v>
      </c>
      <c r="F17" s="91" t="s">
        <v>292</v>
      </c>
      <c r="H17" s="13"/>
    </row>
    <row r="18" spans="1:10" ht="17.25">
      <c r="A18" s="88"/>
      <c r="B18" s="89" t="s">
        <v>4</v>
      </c>
      <c r="C18" s="90" t="s">
        <v>6</v>
      </c>
      <c r="D18" s="91" t="s">
        <v>301</v>
      </c>
      <c r="E18" s="215" t="s">
        <v>301</v>
      </c>
      <c r="F18" s="91" t="s">
        <v>142</v>
      </c>
      <c r="H18" s="13"/>
    </row>
    <row r="19" spans="1:10" ht="18" thickBot="1">
      <c r="A19" s="97" t="s">
        <v>2</v>
      </c>
      <c r="B19" s="98" t="s">
        <v>0</v>
      </c>
      <c r="C19" s="99" t="s">
        <v>0</v>
      </c>
      <c r="D19" s="98" t="s">
        <v>0</v>
      </c>
      <c r="E19" s="117" t="s">
        <v>0</v>
      </c>
      <c r="F19" s="98" t="s">
        <v>0</v>
      </c>
      <c r="H19" s="13"/>
    </row>
    <row r="20" spans="1:10" ht="16.5">
      <c r="A20" s="244" t="s">
        <v>7</v>
      </c>
      <c r="B20" s="245" t="s">
        <v>7</v>
      </c>
      <c r="C20" s="246" t="s">
        <v>7</v>
      </c>
      <c r="D20" s="245" t="s">
        <v>7</v>
      </c>
      <c r="E20" s="118" t="s">
        <v>291</v>
      </c>
      <c r="F20" s="103"/>
      <c r="H20" s="13"/>
    </row>
    <row r="21" spans="1:10" ht="17.25">
      <c r="A21" s="88"/>
      <c r="B21" s="89"/>
      <c r="C21" s="216"/>
      <c r="D21" s="89"/>
      <c r="E21" s="216"/>
      <c r="F21" s="89"/>
      <c r="H21" s="13"/>
    </row>
    <row r="22" spans="1:10" ht="17.25">
      <c r="A22" s="105" t="str">
        <f>+'S&amp;D'!A22</f>
        <v>Atmos Energy Corp</v>
      </c>
      <c r="B22" s="88" t="str">
        <f>+'S&amp;D'!B22</f>
        <v>ATO</v>
      </c>
      <c r="C22" s="89" t="str">
        <f>+'S&amp;D'!C22</f>
        <v>Gas Utility</v>
      </c>
      <c r="D22" s="230">
        <f>+'S&amp;D'!D42</f>
        <v>27083708209.919998</v>
      </c>
      <c r="E22" s="232">
        <v>14282892000</v>
      </c>
      <c r="F22" s="107">
        <f t="shared" ref="F22:F32" si="0">+D22/E22</f>
        <v>1.8962341947219092</v>
      </c>
      <c r="H22" s="13"/>
    </row>
    <row r="23" spans="1:10" ht="17.25">
      <c r="A23" s="105" t="str">
        <f>+'S&amp;D'!A23</f>
        <v>Black Hills Corporation</v>
      </c>
      <c r="B23" s="88" t="str">
        <f>+'S&amp;D'!B23</f>
        <v>BKH</v>
      </c>
      <c r="C23" s="89" t="str">
        <f>+'S&amp;D'!C23</f>
        <v>Electric Utility - West</v>
      </c>
      <c r="D23" s="230">
        <f>+'S&amp;D'!D43</f>
        <v>5239617991.1400003</v>
      </c>
      <c r="E23" s="232">
        <v>3823000000</v>
      </c>
      <c r="F23" s="107">
        <f t="shared" si="0"/>
        <v>1.370551397106984</v>
      </c>
      <c r="H23" s="13"/>
    </row>
    <row r="24" spans="1:10" ht="17.25">
      <c r="A24" s="105" t="str">
        <f>+'S&amp;D'!A24</f>
        <v>CenterPoint Energy Inc.</v>
      </c>
      <c r="B24" s="88" t="str">
        <f>+'S&amp;D'!B24</f>
        <v>CNP</v>
      </c>
      <c r="C24" s="89" t="str">
        <f>+'S&amp;D'!C24</f>
        <v>Electric Utility - Central</v>
      </c>
      <c r="D24" s="230">
        <f>+'S&amp;D'!D44</f>
        <v>25031019505.500004</v>
      </c>
      <c r="E24" s="232">
        <v>11153000000</v>
      </c>
      <c r="F24" s="107">
        <f t="shared" si="0"/>
        <v>2.2443306290235814</v>
      </c>
      <c r="G24" t="s">
        <v>0</v>
      </c>
      <c r="H24" s="13"/>
    </row>
    <row r="25" spans="1:10" ht="17.25">
      <c r="A25" s="105" t="str">
        <f>+'S&amp;D'!A25</f>
        <v>CMS Energy Corporation</v>
      </c>
      <c r="B25" s="88" t="str">
        <f>+'S&amp;D'!B25</f>
        <v>CMS</v>
      </c>
      <c r="C25" s="89" t="str">
        <f>+'S&amp;D'!C25</f>
        <v>Electric Utility - Central</v>
      </c>
      <c r="D25" s="230">
        <f>+'S&amp;D'!D45</f>
        <v>21426552000.000004</v>
      </c>
      <c r="E25" s="232">
        <v>9144000000</v>
      </c>
      <c r="F25" s="107">
        <f t="shared" si="0"/>
        <v>2.3432362204724413</v>
      </c>
      <c r="H25" s="13"/>
    </row>
    <row r="26" spans="1:10" ht="17.25">
      <c r="A26" s="105" t="str">
        <f>+'S&amp;D'!A26</f>
        <v>New Jersey Resources Corp</v>
      </c>
      <c r="B26" s="88" t="str">
        <f>+'S&amp;D'!B26</f>
        <v>NJR</v>
      </c>
      <c r="C26" s="89" t="str">
        <f>+'S&amp;D'!C26</f>
        <v>Gas Utility</v>
      </c>
      <c r="D26" s="230">
        <f>+'S&amp;D'!D46</f>
        <v>4646595073.1999998</v>
      </c>
      <c r="E26" s="232">
        <v>2472335000</v>
      </c>
      <c r="F26" s="107">
        <f t="shared" si="0"/>
        <v>1.8794358665795694</v>
      </c>
      <c r="H26" s="13"/>
      <c r="J26" s="10" t="s">
        <v>0</v>
      </c>
    </row>
    <row r="27" spans="1:10" ht="17.25">
      <c r="A27" s="105" t="str">
        <f>+'S&amp;D'!A27</f>
        <v>NISOURCE Inc.</v>
      </c>
      <c r="B27" s="88" t="str">
        <f>+'S&amp;D'!B27</f>
        <v>NI</v>
      </c>
      <c r="C27" s="89" t="str">
        <f>+'S&amp;D'!C27</f>
        <v>Gas Utility</v>
      </c>
      <c r="D27" s="230">
        <f>+'S&amp;D'!D47</f>
        <v>19979322742.079998</v>
      </c>
      <c r="E27" s="232">
        <v>9450100000</v>
      </c>
      <c r="F27" s="107">
        <f t="shared" si="0"/>
        <v>2.1141916743822815</v>
      </c>
      <c r="H27" s="13"/>
    </row>
    <row r="28" spans="1:10" ht="17.25">
      <c r="A28" s="105" t="str">
        <f>+'S&amp;D'!A28</f>
        <v xml:space="preserve">Northwest Natural Holding Company </v>
      </c>
      <c r="B28" s="88" t="str">
        <f>+'S&amp;D'!B28</f>
        <v>NWN</v>
      </c>
      <c r="C28" s="89" t="str">
        <f>+'S&amp;D'!C28</f>
        <v>Gas Utility</v>
      </c>
      <c r="D28" s="230">
        <f>+'S&amp;D'!D48</f>
        <v>1942681588.98</v>
      </c>
      <c r="E28" s="232">
        <v>1475076000</v>
      </c>
      <c r="F28" s="107">
        <f t="shared" si="0"/>
        <v>1.3170044045052594</v>
      </c>
      <c r="G28" s="314" t="s">
        <v>0</v>
      </c>
      <c r="H28" s="13"/>
    </row>
    <row r="29" spans="1:10" ht="17.25">
      <c r="A29" s="105" t="str">
        <f>+'S&amp;D'!A29</f>
        <v>One Gas INC</v>
      </c>
      <c r="B29" s="88" t="str">
        <f>+'S&amp;D'!B29</f>
        <v>OGS</v>
      </c>
      <c r="C29" s="89" t="str">
        <f>+'S&amp;D'!C29</f>
        <v>Gas Utility</v>
      </c>
      <c r="D29" s="230">
        <f>+'S&amp;D'!D49</f>
        <v>4842987282</v>
      </c>
      <c r="E29" s="232">
        <v>3440123000</v>
      </c>
      <c r="F29" s="107">
        <f t="shared" si="0"/>
        <v>1.4077948032672087</v>
      </c>
      <c r="H29" s="13"/>
    </row>
    <row r="30" spans="1:10" ht="17.25">
      <c r="A30" s="105" t="str">
        <f>+'S&amp;D'!A30</f>
        <v>Southwest Gas Holdings, Inc</v>
      </c>
      <c r="B30" s="88" t="str">
        <f>+'S&amp;D'!B30</f>
        <v>SWX</v>
      </c>
      <c r="C30" s="89" t="str">
        <f>+'S&amp;D'!C30</f>
        <v>Gas Utility</v>
      </c>
      <c r="D30" s="230">
        <f>+'S&amp;D'!D50</f>
        <v>5779411931.8599997</v>
      </c>
      <c r="E30" s="232">
        <v>3961119000</v>
      </c>
      <c r="F30" s="107">
        <f t="shared" si="0"/>
        <v>1.4590351695720325</v>
      </c>
      <c r="G30" t="s">
        <v>0</v>
      </c>
      <c r="H30" s="13"/>
    </row>
    <row r="31" spans="1:10" ht="17.25">
      <c r="A31" s="105" t="str">
        <f>+'S&amp;D'!A31</f>
        <v>Spire Inc / Laclede Group Inc</v>
      </c>
      <c r="B31" s="88" t="str">
        <f>+'S&amp;D'!B31</f>
        <v>SR</v>
      </c>
      <c r="C31" s="89" t="str">
        <f>+'S&amp;D'!C31</f>
        <v>Gas Utility</v>
      </c>
      <c r="D31" s="230">
        <f>+'S&amp;D'!D51</f>
        <v>4887570000</v>
      </c>
      <c r="E31" s="232">
        <v>3432700000</v>
      </c>
      <c r="F31" s="107">
        <f t="shared" si="0"/>
        <v>1.4238267253182626</v>
      </c>
      <c r="H31" s="13"/>
    </row>
    <row r="32" spans="1:10" ht="18" thickBot="1">
      <c r="A32" s="109" t="str">
        <f>+'S&amp;D'!A32</f>
        <v>WEC Energy Group</v>
      </c>
      <c r="B32" s="97" t="str">
        <f>+'S&amp;D'!B32</f>
        <v>WEC</v>
      </c>
      <c r="C32" s="98" t="str">
        <f>+'S&amp;D'!C32</f>
        <v>Electric Utility - Central</v>
      </c>
      <c r="D32" s="231">
        <f>+'S&amp;D'!D52</f>
        <v>34323171793.739998</v>
      </c>
      <c r="E32" s="232">
        <v>13613600000</v>
      </c>
      <c r="F32" s="107">
        <f t="shared" si="0"/>
        <v>2.5212413905021447</v>
      </c>
      <c r="H32" s="13"/>
    </row>
    <row r="33" spans="1:8" ht="27" customHeight="1" thickBot="1">
      <c r="A33" s="111"/>
      <c r="B33" s="111"/>
      <c r="C33" s="111"/>
      <c r="D33" s="111"/>
      <c r="E33" s="242" t="s">
        <v>299</v>
      </c>
      <c r="F33" s="335">
        <f>AVERAGE(F22:F32)</f>
        <v>1.8160802250410613</v>
      </c>
      <c r="H33" s="13"/>
    </row>
    <row r="34" spans="1:8" ht="17.25">
      <c r="A34" s="111"/>
      <c r="B34" s="111"/>
      <c r="C34" s="111"/>
      <c r="D34" s="111"/>
      <c r="E34" s="225"/>
      <c r="F34" s="226"/>
      <c r="H34" s="13"/>
    </row>
    <row r="35" spans="1:8" ht="17.25">
      <c r="A35" s="111"/>
      <c r="B35" s="111"/>
      <c r="C35" s="111"/>
      <c r="D35" s="111"/>
      <c r="E35" s="225"/>
      <c r="F35" s="226"/>
      <c r="H35" s="13"/>
    </row>
    <row r="36" spans="1:8" ht="17.25">
      <c r="A36" s="111"/>
      <c r="B36" s="111"/>
      <c r="C36" s="111"/>
      <c r="D36" s="111"/>
      <c r="E36" s="225"/>
      <c r="F36" s="226"/>
      <c r="H36" s="13"/>
    </row>
    <row r="37" spans="1:8" ht="18" thickBot="1">
      <c r="A37" s="111"/>
      <c r="B37" s="111"/>
      <c r="C37" s="111"/>
      <c r="D37" s="111"/>
      <c r="E37" s="111"/>
      <c r="F37" s="111"/>
      <c r="H37" s="13"/>
    </row>
    <row r="38" spans="1:8" ht="17.25">
      <c r="A38" s="227"/>
      <c r="B38" s="228"/>
      <c r="C38" s="229"/>
      <c r="D38" s="213" t="s">
        <v>0</v>
      </c>
      <c r="E38" s="214" t="s">
        <v>0</v>
      </c>
      <c r="F38" s="213" t="s">
        <v>0</v>
      </c>
      <c r="H38" s="13"/>
    </row>
    <row r="39" spans="1:8" ht="17.25">
      <c r="A39" s="88" t="s">
        <v>0</v>
      </c>
      <c r="B39" s="89" t="s">
        <v>3</v>
      </c>
      <c r="C39" s="90" t="s">
        <v>5</v>
      </c>
      <c r="D39" s="91" t="s">
        <v>290</v>
      </c>
      <c r="E39" s="215" t="s">
        <v>79</v>
      </c>
      <c r="F39" s="91" t="s">
        <v>292</v>
      </c>
      <c r="H39" s="13"/>
    </row>
    <row r="40" spans="1:8" ht="17.25">
      <c r="A40" s="88"/>
      <c r="B40" s="89" t="s">
        <v>4</v>
      </c>
      <c r="C40" s="90" t="s">
        <v>6</v>
      </c>
      <c r="D40" s="91" t="s">
        <v>293</v>
      </c>
      <c r="E40" s="215" t="s">
        <v>293</v>
      </c>
      <c r="F40" s="91" t="s">
        <v>142</v>
      </c>
    </row>
    <row r="41" spans="1:8" ht="18" thickBot="1">
      <c r="A41" s="97" t="s">
        <v>2</v>
      </c>
      <c r="B41" s="98" t="s">
        <v>0</v>
      </c>
      <c r="C41" s="99" t="s">
        <v>0</v>
      </c>
      <c r="D41" s="98" t="s">
        <v>0</v>
      </c>
      <c r="E41" s="117" t="s">
        <v>0</v>
      </c>
      <c r="F41" s="98" t="s">
        <v>0</v>
      </c>
    </row>
    <row r="42" spans="1:8">
      <c r="A42" s="244" t="s">
        <v>7</v>
      </c>
      <c r="B42" s="245" t="s">
        <v>7</v>
      </c>
      <c r="C42" s="294" t="s">
        <v>7</v>
      </c>
      <c r="D42" s="245" t="s">
        <v>291</v>
      </c>
      <c r="E42" s="118" t="s">
        <v>291</v>
      </c>
      <c r="F42" s="103"/>
    </row>
    <row r="43" spans="1:8" ht="17.25">
      <c r="A43" s="88"/>
      <c r="B43" s="89"/>
      <c r="C43" s="90"/>
      <c r="D43" s="89"/>
      <c r="E43" s="216"/>
      <c r="F43" s="89"/>
    </row>
    <row r="44" spans="1:8" ht="17.25">
      <c r="A44" s="105" t="str">
        <f>+'S&amp;D'!A22</f>
        <v>Atmos Energy Corp</v>
      </c>
      <c r="B44" s="88" t="str">
        <f>+'S&amp;D'!B22</f>
        <v>ATO</v>
      </c>
      <c r="C44" s="88" t="str">
        <f>+'S&amp;D'!C22</f>
        <v>Gas Utility</v>
      </c>
      <c r="D44" s="230">
        <f>+'S&amp;D'!G42</f>
        <v>8715211776.6497459</v>
      </c>
      <c r="E44" s="232">
        <f>+'S&amp;D'!J22</f>
        <v>8918944000</v>
      </c>
      <c r="F44" s="107">
        <f>+D44/E44</f>
        <v>0.97715736040609136</v>
      </c>
    </row>
    <row r="45" spans="1:8" ht="17.25">
      <c r="A45" s="105" t="str">
        <f>+'S&amp;D'!A23</f>
        <v>Black Hills Corporation</v>
      </c>
      <c r="B45" s="88" t="str">
        <f>+'S&amp;D'!B23</f>
        <v>BKH</v>
      </c>
      <c r="C45" s="88" t="str">
        <f>+'S&amp;D'!C23</f>
        <v>Electric Utility - West</v>
      </c>
      <c r="D45" s="230">
        <f>+'S&amp;D'!G43</f>
        <v>4764031302.0047426</v>
      </c>
      <c r="E45" s="232">
        <f>+'S&amp;D'!J23</f>
        <v>4701100000</v>
      </c>
      <c r="F45" s="107">
        <f t="shared" ref="F45:F54" si="1">+D45/E45</f>
        <v>1.013386505712438</v>
      </c>
    </row>
    <row r="46" spans="1:8" ht="17.25">
      <c r="A46" s="105" t="str">
        <f>+'S&amp;D'!A24</f>
        <v>CenterPoint Energy Inc.</v>
      </c>
      <c r="B46" s="88" t="str">
        <f>+'S&amp;D'!B24</f>
        <v>CNP</v>
      </c>
      <c r="C46" s="88" t="str">
        <f>+'S&amp;D'!C24</f>
        <v>Electric Utility - Central</v>
      </c>
      <c r="D46" s="230">
        <f>+'S&amp;D'!G44</f>
        <v>23085775573.133125</v>
      </c>
      <c r="E46" s="232">
        <f>+'S&amp;D'!J24</f>
        <v>22480000000</v>
      </c>
      <c r="F46" s="107">
        <f t="shared" si="1"/>
        <v>1.0269473119721142</v>
      </c>
    </row>
    <row r="47" spans="1:8" ht="17.25">
      <c r="A47" s="105" t="str">
        <f>+'S&amp;D'!A25</f>
        <v>CMS Energy Corporation</v>
      </c>
      <c r="B47" s="88" t="str">
        <f>+'S&amp;D'!B25</f>
        <v>CMS</v>
      </c>
      <c r="C47" s="88" t="str">
        <f>+'S&amp;D'!C25</f>
        <v>Electric Utility - Central</v>
      </c>
      <c r="D47" s="230">
        <f>+'S&amp;D'!G45</f>
        <v>20088964919.240578</v>
      </c>
      <c r="E47" s="232">
        <f>+'S&amp;D'!J25</f>
        <v>18898000000</v>
      </c>
      <c r="F47" s="107">
        <f t="shared" si="1"/>
        <v>1.0630206857466704</v>
      </c>
    </row>
    <row r="48" spans="1:8" ht="17.25">
      <c r="A48" s="105" t="str">
        <f>+'S&amp;D'!A26</f>
        <v>New Jersey Resources Corp</v>
      </c>
      <c r="B48" s="88" t="str">
        <f>+'S&amp;D'!B26</f>
        <v>NJR</v>
      </c>
      <c r="C48" s="88" t="str">
        <f>+'S&amp;D'!C26</f>
        <v>Gas Utility</v>
      </c>
      <c r="D48" s="230">
        <f>+'S&amp;D'!G46</f>
        <v>3077184853.0679321</v>
      </c>
      <c r="E48" s="232">
        <f>+'S&amp;D'!J26</f>
        <v>3435700000</v>
      </c>
      <c r="F48" s="107">
        <f t="shared" si="1"/>
        <v>0.89565004309687457</v>
      </c>
    </row>
    <row r="49" spans="1:6" ht="17.25">
      <c r="A49" s="105" t="str">
        <f>+'S&amp;D'!A27</f>
        <v>NISOURCE Inc.</v>
      </c>
      <c r="B49" s="88" t="str">
        <f>+'S&amp;D'!B27</f>
        <v>NI</v>
      </c>
      <c r="C49" s="88" t="str">
        <f>+'S&amp;D'!C27</f>
        <v>Gas Utility</v>
      </c>
      <c r="D49" s="230">
        <f>+'S&amp;D'!G47</f>
        <v>14975300000</v>
      </c>
      <c r="E49" s="232">
        <f>+'S&amp;D'!J27</f>
        <v>15477500000</v>
      </c>
      <c r="F49" s="107">
        <f t="shared" si="1"/>
        <v>0.96755289937005329</v>
      </c>
    </row>
    <row r="50" spans="1:6" ht="17.25">
      <c r="A50" s="105" t="str">
        <f>+'S&amp;D'!A28</f>
        <v xml:space="preserve">Northwest Natural Holding Company </v>
      </c>
      <c r="B50" s="88" t="str">
        <f>+'S&amp;D'!B28</f>
        <v>NWN</v>
      </c>
      <c r="C50" s="88" t="str">
        <f>+'S&amp;D'!C28</f>
        <v>Gas Utility</v>
      </c>
      <c r="D50" s="230">
        <f>+'S&amp;D'!G48</f>
        <v>2192224763.7631111</v>
      </c>
      <c r="E50" s="232">
        <f>+'S&amp;D'!J28</f>
        <v>2432829000</v>
      </c>
      <c r="F50" s="107">
        <f t="shared" si="1"/>
        <v>0.9011010489282687</v>
      </c>
    </row>
    <row r="51" spans="1:6" ht="17.25">
      <c r="A51" s="105" t="str">
        <f>+'S&amp;D'!A29</f>
        <v>One Gas INC</v>
      </c>
      <c r="B51" s="88" t="str">
        <f>+'S&amp;D'!B29</f>
        <v>OGS</v>
      </c>
      <c r="C51" s="88" t="str">
        <f>+'S&amp;D'!C29</f>
        <v>Gas Utility</v>
      </c>
      <c r="D51" s="230">
        <f>+'S&amp;D'!G49</f>
        <v>2500000000</v>
      </c>
      <c r="E51" s="232">
        <f>+'S&amp;D'!J29</f>
        <v>2605712000</v>
      </c>
      <c r="F51" s="107">
        <f t="shared" si="1"/>
        <v>0.95943066616725103</v>
      </c>
    </row>
    <row r="52" spans="1:6" ht="17.25">
      <c r="A52" s="105" t="str">
        <f>+'S&amp;D'!A30</f>
        <v>Southwest Gas Holdings, Inc</v>
      </c>
      <c r="B52" s="88" t="str">
        <f>+'S&amp;D'!B30</f>
        <v>SWX</v>
      </c>
      <c r="C52" s="88" t="str">
        <f>+'S&amp;D'!C30</f>
        <v>Gas Utility</v>
      </c>
      <c r="D52" s="230">
        <f>+'S&amp;D'!G50</f>
        <v>3305019086.5362544</v>
      </c>
      <c r="E52" s="232">
        <f>+'S&amp;D'!J30</f>
        <v>3508012000</v>
      </c>
      <c r="F52" s="107">
        <f t="shared" si="1"/>
        <v>0.94213448715005943</v>
      </c>
    </row>
    <row r="53" spans="1:6" ht="17.25">
      <c r="A53" s="105" t="str">
        <f>+'S&amp;D'!A31</f>
        <v>Spire Inc / Laclede Group Inc</v>
      </c>
      <c r="B53" s="88" t="str">
        <f>+'S&amp;D'!B31</f>
        <v>SR</v>
      </c>
      <c r="C53" s="88" t="str">
        <f>+'S&amp;D'!C31</f>
        <v>Gas Utility</v>
      </c>
      <c r="D53" s="230">
        <f>+'S&amp;D'!G51</f>
        <v>4822300000</v>
      </c>
      <c r="E53" s="232">
        <f>+'S&amp;D'!J31</f>
        <v>4937500000</v>
      </c>
      <c r="F53" s="107">
        <f t="shared" si="1"/>
        <v>0.97666835443037969</v>
      </c>
    </row>
    <row r="54" spans="1:6" ht="18" thickBot="1">
      <c r="A54" s="109" t="str">
        <f>+'S&amp;D'!A32</f>
        <v>WEC Energy Group</v>
      </c>
      <c r="B54" s="97" t="str">
        <f>+'S&amp;D'!B32</f>
        <v>WEC</v>
      </c>
      <c r="C54" s="97" t="str">
        <f>+'S&amp;D'!C32</f>
        <v>Electric Utility - Central</v>
      </c>
      <c r="D54" s="231">
        <f>+'S&amp;D'!G52</f>
        <v>19973510400.899212</v>
      </c>
      <c r="E54" s="232">
        <f>+'S&amp;D'!J32</f>
        <v>20389500000</v>
      </c>
      <c r="F54" s="107">
        <f t="shared" si="1"/>
        <v>0.97959785187960524</v>
      </c>
    </row>
    <row r="55" spans="1:6" ht="27.75" customHeight="1" thickBot="1">
      <c r="E55" s="242" t="s">
        <v>299</v>
      </c>
      <c r="F55" s="335">
        <f>AVERAGE(F44:F54)</f>
        <v>0.97296792862361881</v>
      </c>
    </row>
    <row r="60" spans="1:6">
      <c r="C60" s="217" t="s">
        <v>294</v>
      </c>
      <c r="D60" s="217" t="s">
        <v>295</v>
      </c>
      <c r="E60" s="217"/>
    </row>
    <row r="61" spans="1:6">
      <c r="A61" s="219"/>
      <c r="B61" s="219"/>
      <c r="C61" s="218" t="s">
        <v>36</v>
      </c>
      <c r="D61" s="218" t="s">
        <v>296</v>
      </c>
      <c r="E61" s="218" t="s">
        <v>297</v>
      </c>
    </row>
    <row r="62" spans="1:6" ht="17.25">
      <c r="A62" s="90" t="s">
        <v>40</v>
      </c>
      <c r="B62" s="135" t="s">
        <v>0</v>
      </c>
      <c r="C62" s="135">
        <f>+'Yield CapRate'!C23</f>
        <v>0.57999999999999996</v>
      </c>
      <c r="D62" s="223">
        <f>+F33</f>
        <v>1.8160802250410613</v>
      </c>
      <c r="E62" s="224">
        <f>+C62*D62</f>
        <v>1.0533265305238155</v>
      </c>
      <c r="F62" s="136" t="s">
        <v>0</v>
      </c>
    </row>
    <row r="63" spans="1:6" ht="17.25">
      <c r="A63" s="220" t="s">
        <v>42</v>
      </c>
      <c r="B63" s="221" t="str">
        <f>'S&amp;D'!I39</f>
        <v xml:space="preserve"> </v>
      </c>
      <c r="C63" s="221">
        <f>+'Yield CapRate'!C25</f>
        <v>0.42</v>
      </c>
      <c r="D63" s="222">
        <f>+F55</f>
        <v>0.97296792862361881</v>
      </c>
      <c r="E63" s="222">
        <f>+C63*D63</f>
        <v>0.40864653002191986</v>
      </c>
      <c r="F63" s="136" t="s">
        <v>0</v>
      </c>
    </row>
    <row r="64" spans="1:6" ht="17.25">
      <c r="D64" s="120" t="s">
        <v>298</v>
      </c>
      <c r="E64" s="243">
        <f>+E62+E63</f>
        <v>1.4619730605457355</v>
      </c>
    </row>
    <row r="67" spans="1:1" ht="20.25">
      <c r="A67" s="31" t="s">
        <v>415</v>
      </c>
    </row>
    <row r="68" spans="1:1" ht="20.25">
      <c r="A68" s="31" t="s">
        <v>365</v>
      </c>
    </row>
  </sheetData>
  <pageMargins left="0.25" right="0.25" top="0.75" bottom="0.75" header="0.3" footer="0.3"/>
  <pageSetup scale="42" orientation="landscape" r:id="rId1"/>
  <rowBreaks count="1" manualBreakCount="1">
    <brk id="37" max="6" man="1"/>
  </rowBreaks>
  <colBreaks count="1" manualBreakCount="1">
    <brk id="8" max="71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145E-BF36-4A2C-868C-9B0DC0104C72}">
  <sheetPr>
    <tabColor rgb="FF92D050"/>
  </sheetPr>
  <dimension ref="A1:L80"/>
  <sheetViews>
    <sheetView view="pageBreakPreview" topLeftCell="A37" zoomScale="70" zoomScaleNormal="80" zoomScaleSheetLayoutView="70" workbookViewId="0">
      <selection activeCell="H51" activeCellId="1" sqref="H7 H51"/>
    </sheetView>
  </sheetViews>
  <sheetFormatPr defaultRowHeight="15"/>
  <cols>
    <col min="1" max="1" width="45.140625" customWidth="1"/>
    <col min="2" max="2" width="15.28515625" customWidth="1"/>
    <col min="3" max="3" width="10.7109375" customWidth="1"/>
    <col min="4" max="4" width="21.7109375" customWidth="1"/>
    <col min="5" max="5" width="22.28515625" customWidth="1"/>
    <col min="6" max="6" width="26.5703125" customWidth="1"/>
    <col min="7" max="7" width="26.42578125" customWidth="1"/>
    <col min="8" max="8" width="23.85546875" customWidth="1"/>
    <col min="9" max="9" width="15" customWidth="1"/>
    <col min="10" max="10" width="14.140625" bestFit="1" customWidth="1"/>
    <col min="11" max="11" width="16.7109375" customWidth="1"/>
    <col min="12" max="12" width="23.140625" customWidth="1"/>
  </cols>
  <sheetData>
    <row r="1" spans="1:12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6.5">
      <c r="A3" s="27" t="s">
        <v>485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6.5">
      <c r="A4" s="27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6.5">
      <c r="A5" s="2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16.5">
      <c r="A6" s="27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17.25" thickBot="1">
      <c r="A7" s="13"/>
      <c r="B7" s="13"/>
      <c r="C7" s="13"/>
      <c r="D7" s="13"/>
      <c r="E7" s="13"/>
      <c r="F7" s="30"/>
      <c r="G7" s="30"/>
      <c r="H7" s="487" t="s">
        <v>0</v>
      </c>
      <c r="I7" s="13"/>
      <c r="J7" s="13"/>
      <c r="K7" s="13"/>
      <c r="L7" s="13"/>
    </row>
    <row r="8" spans="1:12" ht="27" thickBot="1">
      <c r="A8" s="237" t="str">
        <f>+'S&amp;D'!A12</f>
        <v>Natural Gas Utility Distribution</v>
      </c>
      <c r="B8" s="238"/>
      <c r="C8" s="176"/>
      <c r="D8" s="13"/>
      <c r="E8" s="13"/>
      <c r="F8" s="13"/>
      <c r="G8" s="32" t="s">
        <v>94</v>
      </c>
      <c r="H8" s="13"/>
      <c r="I8" s="13"/>
      <c r="J8" s="13"/>
      <c r="K8" s="13"/>
      <c r="L8" s="13"/>
    </row>
    <row r="9" spans="1:12" ht="20.25">
      <c r="A9" s="31"/>
      <c r="B9" s="13"/>
      <c r="C9" s="13"/>
      <c r="D9" s="13"/>
      <c r="E9" s="13"/>
      <c r="F9" s="13"/>
      <c r="G9" s="90" t="s">
        <v>95</v>
      </c>
      <c r="H9" s="13"/>
      <c r="I9" s="13"/>
      <c r="J9" s="13"/>
      <c r="K9" s="13"/>
      <c r="L9" s="13"/>
    </row>
    <row r="10" spans="1:12" ht="18" customHeight="1" thickBot="1">
      <c r="A10" s="41" t="s">
        <v>0</v>
      </c>
      <c r="B10" s="41" t="s">
        <v>0</v>
      </c>
      <c r="C10" s="41" t="s">
        <v>0</v>
      </c>
      <c r="D10" s="13"/>
      <c r="E10" s="13"/>
      <c r="F10" s="34" t="s">
        <v>0</v>
      </c>
      <c r="G10" s="37" t="s">
        <v>498</v>
      </c>
      <c r="H10" s="34" t="s">
        <v>0</v>
      </c>
      <c r="I10" s="41" t="s">
        <v>0</v>
      </c>
      <c r="J10" s="13"/>
      <c r="K10" s="13"/>
      <c r="L10" s="13"/>
    </row>
    <row r="11" spans="1:12" ht="18" customHeight="1">
      <c r="A11" s="41"/>
      <c r="B11" s="41"/>
      <c r="C11" s="41"/>
      <c r="D11" s="13"/>
      <c r="E11" s="13"/>
      <c r="J11" s="13"/>
      <c r="K11" s="13"/>
      <c r="L11" s="13"/>
    </row>
    <row r="12" spans="1:12" ht="18" customHeight="1">
      <c r="A12" s="41"/>
      <c r="B12" s="41"/>
      <c r="C12" s="41"/>
      <c r="D12" s="13"/>
      <c r="E12" s="13"/>
      <c r="G12" s="14" t="s">
        <v>0</v>
      </c>
      <c r="H12" t="s">
        <v>0</v>
      </c>
      <c r="J12" s="13"/>
      <c r="K12" s="13"/>
      <c r="L12" s="13"/>
    </row>
    <row r="13" spans="1:12" ht="17.25" thickBot="1">
      <c r="A13" s="34"/>
      <c r="B13" s="34"/>
      <c r="C13" s="34"/>
      <c r="D13" s="34"/>
      <c r="E13" s="37"/>
      <c r="F13" s="34"/>
      <c r="G13" s="34"/>
      <c r="H13" s="34"/>
      <c r="I13" s="34"/>
      <c r="J13" s="30"/>
      <c r="K13" s="30"/>
      <c r="L13" s="30"/>
    </row>
    <row r="14" spans="1:12" ht="15" customHeight="1" thickBot="1">
      <c r="A14" s="34" t="s">
        <v>24</v>
      </c>
      <c r="B14" s="34" t="s">
        <v>107</v>
      </c>
      <c r="C14" s="34" t="s">
        <v>108</v>
      </c>
      <c r="D14" s="42" t="s">
        <v>109</v>
      </c>
      <c r="E14" s="34" t="s">
        <v>110</v>
      </c>
      <c r="F14" s="34" t="s">
        <v>111</v>
      </c>
      <c r="G14" s="34" t="s">
        <v>112</v>
      </c>
      <c r="H14" s="34" t="s">
        <v>113</v>
      </c>
      <c r="I14" s="34" t="s">
        <v>114</v>
      </c>
      <c r="J14" s="34" t="s">
        <v>115</v>
      </c>
      <c r="K14" s="34" t="s">
        <v>116</v>
      </c>
      <c r="L14" s="34" t="s">
        <v>124</v>
      </c>
    </row>
    <row r="15" spans="1:12" ht="16.5">
      <c r="A15" s="35" t="s">
        <v>0</v>
      </c>
      <c r="B15" s="35" t="s">
        <v>3</v>
      </c>
      <c r="C15" s="35" t="s">
        <v>96</v>
      </c>
      <c r="D15" s="35" t="s">
        <v>99</v>
      </c>
      <c r="E15" s="35" t="s">
        <v>99</v>
      </c>
      <c r="F15" s="35" t="s">
        <v>100</v>
      </c>
      <c r="G15" s="35" t="s">
        <v>103</v>
      </c>
      <c r="H15" s="35" t="s">
        <v>105</v>
      </c>
      <c r="I15" s="35" t="s">
        <v>127</v>
      </c>
      <c r="J15" s="35" t="s">
        <v>127</v>
      </c>
      <c r="K15" s="35" t="s">
        <v>120</v>
      </c>
      <c r="L15" s="35" t="s">
        <v>122</v>
      </c>
    </row>
    <row r="16" spans="1:12" ht="17.25" thickBot="1">
      <c r="A16" s="37" t="s">
        <v>2</v>
      </c>
      <c r="B16" s="37" t="s">
        <v>4</v>
      </c>
      <c r="C16" s="37" t="s">
        <v>97</v>
      </c>
      <c r="D16" s="37" t="s">
        <v>102</v>
      </c>
      <c r="E16" s="37" t="s">
        <v>101</v>
      </c>
      <c r="F16" s="37" t="s">
        <v>19</v>
      </c>
      <c r="G16" s="37" t="s">
        <v>104</v>
      </c>
      <c r="H16" s="37" t="s">
        <v>106</v>
      </c>
      <c r="I16" s="37" t="s">
        <v>0</v>
      </c>
      <c r="J16" s="37" t="s">
        <v>0</v>
      </c>
      <c r="K16" s="37" t="s">
        <v>121</v>
      </c>
      <c r="L16" s="37" t="s">
        <v>103</v>
      </c>
    </row>
    <row r="17" spans="1:12">
      <c r="A17" s="43" t="s">
        <v>7</v>
      </c>
      <c r="B17" s="43" t="s">
        <v>7</v>
      </c>
      <c r="C17" s="43" t="s">
        <v>98</v>
      </c>
      <c r="D17" s="43" t="s">
        <v>254</v>
      </c>
      <c r="E17" s="43" t="s">
        <v>254</v>
      </c>
      <c r="F17" s="43" t="s">
        <v>125</v>
      </c>
      <c r="G17" s="43" t="s">
        <v>253</v>
      </c>
      <c r="H17" s="43" t="s">
        <v>117</v>
      </c>
      <c r="I17" s="43" t="s">
        <v>118</v>
      </c>
      <c r="J17" s="43" t="s">
        <v>119</v>
      </c>
      <c r="K17" s="43" t="s">
        <v>126</v>
      </c>
      <c r="L17" s="43" t="s">
        <v>123</v>
      </c>
    </row>
    <row r="18" spans="1:12" ht="16.5">
      <c r="A18" s="35"/>
      <c r="B18" s="35"/>
      <c r="C18" s="35"/>
      <c r="D18" s="35"/>
      <c r="E18" s="35"/>
      <c r="F18" s="35"/>
      <c r="G18" s="35" t="s">
        <v>0</v>
      </c>
      <c r="H18" s="35" t="s">
        <v>0</v>
      </c>
      <c r="I18" s="35"/>
      <c r="J18" s="35"/>
      <c r="K18" s="35"/>
      <c r="L18" s="35"/>
    </row>
    <row r="19" spans="1:12" ht="16.5">
      <c r="A19" s="13"/>
      <c r="B19" s="13"/>
      <c r="C19" s="13"/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/>
      <c r="J19" s="13"/>
      <c r="K19" s="13"/>
      <c r="L19" s="13"/>
    </row>
    <row r="20" spans="1:12" ht="22.5" customHeight="1">
      <c r="A20" s="63" t="str">
        <f>+'S&amp;D'!A22</f>
        <v>Atmos Energy Corp</v>
      </c>
      <c r="B20" s="90" t="str">
        <f>+'S&amp;D'!B22</f>
        <v>ATO</v>
      </c>
      <c r="C20" s="66">
        <f>+'Growth &amp; Inflation Rates'!$D$56</f>
        <v>2.2800000000000001E-2</v>
      </c>
      <c r="D20" s="272">
        <v>30322427000</v>
      </c>
      <c r="E20" s="272">
        <v>26675943000</v>
      </c>
      <c r="F20" s="131">
        <f>(D20+E20)/2</f>
        <v>28499185000</v>
      </c>
      <c r="G20" s="315">
        <f>194645000+(734745000-180533000)</f>
        <v>748857000</v>
      </c>
      <c r="H20" s="19">
        <f>+F20/G20</f>
        <v>38.056912067323935</v>
      </c>
      <c r="I20" s="45">
        <f>+C20*H20</f>
        <v>0.86769759513498579</v>
      </c>
      <c r="J20" s="46">
        <f>1/(1+C20)^H20</f>
        <v>0.42402889726415621</v>
      </c>
      <c r="K20" s="132">
        <f>(G20*I20)/(1-J20)</f>
        <v>1128149337.5510674</v>
      </c>
      <c r="L20" s="133">
        <f>+K20/G20</f>
        <v>1.5064950151378265</v>
      </c>
    </row>
    <row r="21" spans="1:12" ht="22.5" customHeight="1">
      <c r="A21" s="63" t="str">
        <f>+'S&amp;D'!A23</f>
        <v>Black Hills Corporation</v>
      </c>
      <c r="B21" s="90" t="str">
        <f>+'S&amp;D'!B23</f>
        <v>BKH</v>
      </c>
      <c r="C21" s="66">
        <f>+'Growth &amp; Inflation Rates'!$D$56</f>
        <v>2.2800000000000001E-2</v>
      </c>
      <c r="D21" s="272">
        <v>10344900000</v>
      </c>
      <c r="E21" s="272">
        <v>9566500000</v>
      </c>
      <c r="F21" s="131">
        <f t="shared" ref="F21:F30" si="0">(D21+E21)/2</f>
        <v>9955700000</v>
      </c>
      <c r="G21" s="131">
        <v>283800000</v>
      </c>
      <c r="H21" s="19">
        <f>+F21/G21</f>
        <v>35.079985905567298</v>
      </c>
      <c r="I21" s="45">
        <f t="shared" ref="I21:I30" si="1">+C21*H21</f>
        <v>0.79982367864693438</v>
      </c>
      <c r="J21" s="46">
        <f t="shared" ref="J21:J30" si="2">1/(1+C21)^H21</f>
        <v>0.45346283937222909</v>
      </c>
      <c r="K21" s="132">
        <f t="shared" ref="K21:K30" si="3">(G21*I21)/(1-J21)</f>
        <v>415323927.35980052</v>
      </c>
      <c r="L21" s="133">
        <f t="shared" ref="L21:L30" si="4">+K21/G21</f>
        <v>1.4634387856229758</v>
      </c>
    </row>
    <row r="22" spans="1:12" ht="22.5" customHeight="1">
      <c r="A22" s="63" t="str">
        <f>+'S&amp;D'!A24</f>
        <v>CenterPoint Energy Inc.</v>
      </c>
      <c r="B22" s="90" t="str">
        <f>+'S&amp;D'!B24</f>
        <v>CNP</v>
      </c>
      <c r="C22" s="66">
        <f>+'Growth &amp; Inflation Rates'!$D$56</f>
        <v>2.2800000000000001E-2</v>
      </c>
      <c r="D22" s="272">
        <v>44676000000</v>
      </c>
      <c r="E22" s="272">
        <v>42667000000</v>
      </c>
      <c r="F22" s="131">
        <f t="shared" si="0"/>
        <v>43671500000</v>
      </c>
      <c r="G22" s="131">
        <v>1530000000</v>
      </c>
      <c r="H22" s="19">
        <f>+F22/G22</f>
        <v>28.543464052287582</v>
      </c>
      <c r="I22" s="45">
        <f t="shared" si="1"/>
        <v>0.65079098039215688</v>
      </c>
      <c r="J22" s="46">
        <f t="shared" si="2"/>
        <v>0.52545914407977867</v>
      </c>
      <c r="K22" s="132">
        <f t="shared" si="3"/>
        <v>2098260218.4360633</v>
      </c>
      <c r="L22" s="133">
        <f t="shared" si="4"/>
        <v>1.3714119074745512</v>
      </c>
    </row>
    <row r="23" spans="1:12" ht="22.5" customHeight="1">
      <c r="A23" s="63" t="str">
        <f>+'S&amp;D'!A25</f>
        <v>CMS Energy Corporation</v>
      </c>
      <c r="B23" s="90" t="str">
        <f>+'S&amp;D'!B25</f>
        <v>CMS</v>
      </c>
      <c r="C23" s="66">
        <f>+'Growth &amp; Inflation Rates'!$D$56</f>
        <v>2.2800000000000001E-2</v>
      </c>
      <c r="D23" s="272">
        <v>37763000000</v>
      </c>
      <c r="E23" s="272">
        <v>34932000000</v>
      </c>
      <c r="F23" s="131">
        <f t="shared" ref="F23" si="5">(D23+E23)/2</f>
        <v>36347500000</v>
      </c>
      <c r="G23" s="131">
        <v>1306000000</v>
      </c>
      <c r="H23" s="19">
        <f t="shared" ref="H23:H30" si="6">+F23/G23</f>
        <v>27.831163859111793</v>
      </c>
      <c r="I23" s="45">
        <f t="shared" si="1"/>
        <v>0.63455053598774891</v>
      </c>
      <c r="J23" s="46">
        <f t="shared" si="2"/>
        <v>0.5339651158808878</v>
      </c>
      <c r="K23" s="132">
        <f t="shared" si="3"/>
        <v>1778242419.6987574</v>
      </c>
      <c r="L23" s="133">
        <f t="shared" si="4"/>
        <v>1.36159450206643</v>
      </c>
    </row>
    <row r="24" spans="1:12" ht="22.5" customHeight="1">
      <c r="A24" s="63" t="str">
        <f>+'S&amp;D'!A26</f>
        <v>New Jersey Resources Corp</v>
      </c>
      <c r="B24" s="90" t="str">
        <f>+'S&amp;D'!B26</f>
        <v>NJR</v>
      </c>
      <c r="C24" s="66">
        <f>+'Growth &amp; Inflation Rates'!$D$56</f>
        <v>2.2800000000000001E-2</v>
      </c>
      <c r="D24" s="272">
        <v>7141517000</v>
      </c>
      <c r="E24" s="272">
        <v>6496546000</v>
      </c>
      <c r="F24" s="131">
        <f t="shared" si="0"/>
        <v>6819031500</v>
      </c>
      <c r="G24" s="315">
        <f>49576000+(188774000-42961000)</f>
        <v>195389000</v>
      </c>
      <c r="H24" s="19">
        <f t="shared" si="6"/>
        <v>34.899771737405892</v>
      </c>
      <c r="I24" s="45">
        <f t="shared" si="1"/>
        <v>0.79571479561285441</v>
      </c>
      <c r="J24" s="46">
        <f t="shared" si="2"/>
        <v>0.45530888927627983</v>
      </c>
      <c r="K24" s="132">
        <f t="shared" si="3"/>
        <v>285435020.21434665</v>
      </c>
      <c r="L24" s="133">
        <f t="shared" si="4"/>
        <v>1.4608551157657117</v>
      </c>
    </row>
    <row r="25" spans="1:12" ht="22.5" customHeight="1">
      <c r="A25" s="63" t="str">
        <f>+'S&amp;D'!A27</f>
        <v>NISOURCE Inc.</v>
      </c>
      <c r="B25" s="90" t="str">
        <f>+'S&amp;D'!B27</f>
        <v>NI</v>
      </c>
      <c r="C25" s="66">
        <f>+'Growth &amp; Inflation Rates'!$D$56</f>
        <v>2.2800000000000001E-2</v>
      </c>
      <c r="D25" s="272">
        <v>38058800000</v>
      </c>
      <c r="E25" s="272">
        <v>34152900000</v>
      </c>
      <c r="F25" s="131">
        <f t="shared" si="0"/>
        <v>36105850000</v>
      </c>
      <c r="G25" s="131">
        <v>1167600000</v>
      </c>
      <c r="H25" s="19">
        <f t="shared" si="6"/>
        <v>30.923132922233641</v>
      </c>
      <c r="I25" s="45">
        <f t="shared" si="1"/>
        <v>0.7050474306269271</v>
      </c>
      <c r="J25" s="46">
        <f t="shared" si="2"/>
        <v>0.49801254634332182</v>
      </c>
      <c r="K25" s="132">
        <f t="shared" si="3"/>
        <v>1639908276.5981166</v>
      </c>
      <c r="L25" s="133">
        <f t="shared" si="4"/>
        <v>1.40451205601072</v>
      </c>
    </row>
    <row r="26" spans="1:12" ht="22.5" customHeight="1">
      <c r="A26" s="63" t="str">
        <f>+'S&amp;D'!A28</f>
        <v xml:space="preserve">Northwest Natural Holding Company </v>
      </c>
      <c r="B26" s="90" t="str">
        <f>+'S&amp;D'!B28</f>
        <v>NWN</v>
      </c>
      <c r="C26" s="66">
        <f>+'Growth &amp; Inflation Rates'!$D$56</f>
        <v>2.2800000000000001E-2</v>
      </c>
      <c r="D26" s="272">
        <v>5640435000</v>
      </c>
      <c r="E26" s="272">
        <v>4918919000</v>
      </c>
      <c r="F26" s="131">
        <f t="shared" si="0"/>
        <v>5279677000</v>
      </c>
      <c r="G26" s="131">
        <v>165506000</v>
      </c>
      <c r="H26" s="19">
        <f t="shared" si="6"/>
        <v>31.90021509794207</v>
      </c>
      <c r="I26" s="45">
        <f t="shared" si="1"/>
        <v>0.72732490423307927</v>
      </c>
      <c r="J26" s="46">
        <f t="shared" si="2"/>
        <v>0.48716260783766363</v>
      </c>
      <c r="K26" s="132">
        <f t="shared" si="3"/>
        <v>234726713.45675853</v>
      </c>
      <c r="L26" s="133">
        <f t="shared" si="4"/>
        <v>1.4182368823895117</v>
      </c>
    </row>
    <row r="27" spans="1:12" ht="22.5" customHeight="1">
      <c r="A27" s="63" t="str">
        <f>+'S&amp;D'!A29</f>
        <v>One Gas INC</v>
      </c>
      <c r="B27" s="90" t="str">
        <f>+'S&amp;D'!B29</f>
        <v>OGS</v>
      </c>
      <c r="C27" s="66">
        <f>+'Growth &amp; Inflation Rates'!$D$56</f>
        <v>2.2800000000000001E-2</v>
      </c>
      <c r="D27" s="272">
        <v>9734150000</v>
      </c>
      <c r="E27" s="272">
        <v>9124134000</v>
      </c>
      <c r="F27" s="131">
        <f t="shared" si="0"/>
        <v>9429142000</v>
      </c>
      <c r="G27" s="131">
        <v>317256000</v>
      </c>
      <c r="H27" s="19">
        <f t="shared" si="6"/>
        <v>29.720925687772649</v>
      </c>
      <c r="I27" s="45">
        <f t="shared" si="1"/>
        <v>0.67763710568121638</v>
      </c>
      <c r="J27" s="46">
        <f t="shared" si="2"/>
        <v>0.51169451025282786</v>
      </c>
      <c r="K27" s="132">
        <f t="shared" si="3"/>
        <v>440266272.06528348</v>
      </c>
      <c r="L27" s="133">
        <f t="shared" si="4"/>
        <v>1.3877319012572922</v>
      </c>
    </row>
    <row r="28" spans="1:12" ht="22.5" customHeight="1">
      <c r="A28" s="63" t="str">
        <f>+'S&amp;D'!A30</f>
        <v>Southwest Gas Holdings, Inc</v>
      </c>
      <c r="B28" s="90" t="str">
        <f>+'S&amp;D'!B30</f>
        <v>SWX</v>
      </c>
      <c r="C28" s="66">
        <f>+'Growth &amp; Inflation Rates'!$D$56</f>
        <v>2.2800000000000001E-2</v>
      </c>
      <c r="D28" s="272">
        <f>11517031000+236871000</f>
        <v>11753902000</v>
      </c>
      <c r="E28" s="272">
        <f>10844895000+178647000</f>
        <v>11023542000</v>
      </c>
      <c r="F28" s="131">
        <f>(D28+E28)/2</f>
        <v>11388722000</v>
      </c>
      <c r="G28" s="131">
        <v>330724000</v>
      </c>
      <c r="H28" s="19">
        <f>+F28/G28</f>
        <v>34.435728885717396</v>
      </c>
      <c r="I28" s="45">
        <f>+C28*H28</f>
        <v>0.78513461859435663</v>
      </c>
      <c r="J28" s="46">
        <f>1/(1+C28)^H28</f>
        <v>0.46009704365141085</v>
      </c>
      <c r="K28" s="132">
        <f>(G28*I28)/(1-J28)</f>
        <v>480943581.70609516</v>
      </c>
      <c r="L28" s="133">
        <f t="shared" si="4"/>
        <v>1.4542143349321341</v>
      </c>
    </row>
    <row r="29" spans="1:12" ht="22.5" customHeight="1">
      <c r="A29" s="63" t="str">
        <f>+'S&amp;D'!A31</f>
        <v>Spire Inc / Laclede Group Inc</v>
      </c>
      <c r="B29" s="90" t="str">
        <f>+'S&amp;D'!B31</f>
        <v>SR</v>
      </c>
      <c r="C29" s="66">
        <f>+'Growth &amp; Inflation Rates'!$D$56</f>
        <v>2.2800000000000001E-2</v>
      </c>
      <c r="D29" s="272">
        <f>9490100000+1003400000</f>
        <v>10493500000</v>
      </c>
      <c r="E29" s="272">
        <v>8946300000</v>
      </c>
      <c r="F29" s="131">
        <f t="shared" si="0"/>
        <v>9719900000</v>
      </c>
      <c r="G29" s="315">
        <f>81400000+(298200000-72300000)</f>
        <v>307300000</v>
      </c>
      <c r="H29" s="19">
        <f t="shared" si="6"/>
        <v>31.630003254149042</v>
      </c>
      <c r="I29" s="45">
        <f t="shared" si="1"/>
        <v>0.72116407419459816</v>
      </c>
      <c r="J29" s="46">
        <f t="shared" si="2"/>
        <v>0.49013928731890766</v>
      </c>
      <c r="K29" s="132">
        <f t="shared" si="3"/>
        <v>434655415.66175729</v>
      </c>
      <c r="L29" s="133">
        <f t="shared" si="4"/>
        <v>1.4144335036178239</v>
      </c>
    </row>
    <row r="30" spans="1:12" ht="22.5" customHeight="1">
      <c r="A30" s="63" t="str">
        <f>+'S&amp;D'!A32</f>
        <v>WEC Energy Group</v>
      </c>
      <c r="B30" s="90" t="str">
        <f>+'S&amp;D'!B32</f>
        <v>WEC</v>
      </c>
      <c r="C30" s="66">
        <f>+'Growth &amp; Inflation Rates'!$D$56</f>
        <v>2.2800000000000001E-2</v>
      </c>
      <c r="D30" s="272">
        <f>38278100000+12411500000</f>
        <v>50689600000</v>
      </c>
      <c r="E30" s="272">
        <f>34645400000+11073100000</f>
        <v>45718500000</v>
      </c>
      <c r="F30" s="131">
        <f t="shared" si="0"/>
        <v>48204050000</v>
      </c>
      <c r="G30" s="131">
        <v>1478500000</v>
      </c>
      <c r="H30" s="19">
        <f t="shared" si="6"/>
        <v>32.603347987825501</v>
      </c>
      <c r="I30" s="45">
        <f t="shared" si="1"/>
        <v>0.74335633412242141</v>
      </c>
      <c r="J30" s="46">
        <f t="shared" si="2"/>
        <v>0.47950127890618133</v>
      </c>
      <c r="K30" s="132">
        <f t="shared" si="3"/>
        <v>2111537061.3982708</v>
      </c>
      <c r="L30" s="133">
        <f t="shared" si="4"/>
        <v>1.4281616918486784</v>
      </c>
    </row>
    <row r="31" spans="1:12" ht="22.5" customHeight="1" thickBot="1">
      <c r="A31" s="13"/>
      <c r="B31" s="13"/>
      <c r="D31" s="47"/>
      <c r="E31" s="47"/>
      <c r="F31" s="47"/>
      <c r="G31" s="47" t="s">
        <v>55</v>
      </c>
      <c r="H31" s="47"/>
      <c r="I31" s="47" t="s">
        <v>55</v>
      </c>
      <c r="J31" s="47"/>
      <c r="K31" s="47"/>
      <c r="L31" s="47"/>
    </row>
    <row r="32" spans="1:12" ht="22.5" customHeight="1" thickTop="1">
      <c r="A32" s="13"/>
      <c r="B32" s="13"/>
      <c r="D32" s="48" t="s">
        <v>0</v>
      </c>
      <c r="E32" s="318"/>
      <c r="F32" s="15"/>
      <c r="G32" s="394"/>
      <c r="H32" s="35"/>
      <c r="I32" s="48" t="s">
        <v>0</v>
      </c>
      <c r="J32" s="48" t="s">
        <v>0</v>
      </c>
      <c r="K32" s="15" t="s">
        <v>56</v>
      </c>
      <c r="L32" s="266">
        <f>MAX(L20:L30)</f>
        <v>1.5064950151378265</v>
      </c>
    </row>
    <row r="33" spans="1:12" ht="22.5" customHeight="1">
      <c r="B33" s="13"/>
      <c r="D33" s="35" t="s">
        <v>0</v>
      </c>
      <c r="E33" s="318"/>
      <c r="F33" s="15"/>
      <c r="G33" s="48"/>
      <c r="H33" s="35"/>
      <c r="I33" s="48"/>
      <c r="J33" s="48"/>
      <c r="K33" s="15" t="s">
        <v>57</v>
      </c>
      <c r="L33" s="267">
        <f>MIN(L20:L30)</f>
        <v>1.36159450206643</v>
      </c>
    </row>
    <row r="34" spans="1:12" ht="22.5" customHeight="1">
      <c r="B34" s="13"/>
      <c r="C34" s="13"/>
      <c r="D34" s="274" t="s">
        <v>0</v>
      </c>
      <c r="E34" s="316"/>
      <c r="F34" s="13"/>
      <c r="G34" s="13" t="s">
        <v>0</v>
      </c>
      <c r="H34" s="13"/>
      <c r="I34" s="13"/>
      <c r="J34" s="13"/>
      <c r="K34" s="15" t="s">
        <v>18</v>
      </c>
      <c r="L34" s="55">
        <f>MEDIAN(L20:L30)</f>
        <v>1.4182368823895117</v>
      </c>
    </row>
    <row r="35" spans="1:12" ht="22.5" customHeight="1">
      <c r="A35" s="13"/>
      <c r="B35" s="13"/>
      <c r="C35" s="13"/>
      <c r="D35" s="13" t="s">
        <v>0</v>
      </c>
      <c r="E35" s="316"/>
      <c r="F35" s="13"/>
      <c r="G35" s="13" t="s">
        <v>0</v>
      </c>
      <c r="H35" s="13" t="s">
        <v>0</v>
      </c>
      <c r="I35" s="13"/>
      <c r="J35" s="13"/>
      <c r="K35" s="15" t="s">
        <v>413</v>
      </c>
      <c r="L35" s="55">
        <f>AVERAGE(L20:L30)</f>
        <v>1.4246441541930595</v>
      </c>
    </row>
    <row r="36" spans="1:12" ht="22.5" customHeight="1" thickBot="1">
      <c r="A36" s="13"/>
      <c r="B36" s="13"/>
      <c r="C36" s="13"/>
      <c r="D36" s="13"/>
      <c r="E36" s="317"/>
      <c r="F36" s="13"/>
      <c r="G36" s="13" t="s">
        <v>0</v>
      </c>
      <c r="H36" s="13"/>
      <c r="I36" s="13"/>
      <c r="J36" s="13"/>
      <c r="K36" s="13"/>
      <c r="L36" s="13"/>
    </row>
    <row r="37" spans="1:12" ht="22.5" customHeight="1" thickBot="1">
      <c r="A37" s="13"/>
      <c r="B37" s="13"/>
      <c r="C37" s="13"/>
      <c r="D37" s="13"/>
      <c r="E37" s="316"/>
      <c r="F37" s="13"/>
      <c r="G37" s="13"/>
      <c r="H37" s="13"/>
      <c r="I37" s="13"/>
      <c r="J37" s="13"/>
      <c r="K37" s="182" t="s">
        <v>221</v>
      </c>
      <c r="L37" s="359">
        <v>1.4246000000000001</v>
      </c>
    </row>
    <row r="38" spans="1:12" ht="16.5">
      <c r="A38" s="13"/>
      <c r="B38" s="13"/>
      <c r="C38" s="13"/>
      <c r="D38" s="13"/>
      <c r="E38" s="316"/>
      <c r="F38" s="13"/>
      <c r="G38" s="13" t="s">
        <v>0</v>
      </c>
      <c r="H38" s="13"/>
      <c r="I38" s="13"/>
      <c r="J38" s="13"/>
      <c r="K38" s="13"/>
      <c r="L38" s="13"/>
    </row>
    <row r="39" spans="1:12" ht="16.5">
      <c r="A39" s="13"/>
      <c r="B39" s="13"/>
      <c r="C39" s="13"/>
      <c r="D39" s="13"/>
      <c r="E39" s="316"/>
      <c r="F39" s="13"/>
      <c r="G39" s="13" t="s">
        <v>0</v>
      </c>
      <c r="H39" s="13"/>
      <c r="I39" s="13"/>
      <c r="J39" s="13"/>
      <c r="K39" s="13"/>
      <c r="L39" s="13"/>
    </row>
    <row r="40" spans="1:12" ht="20.25">
      <c r="A40" s="31" t="s">
        <v>90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ht="16.5">
      <c r="A41" s="13" t="s">
        <v>266</v>
      </c>
    </row>
    <row r="42" spans="1:12" ht="16.5">
      <c r="A42" s="13"/>
    </row>
    <row r="43" spans="1:12" ht="16.5">
      <c r="A43" s="13" t="s">
        <v>366</v>
      </c>
    </row>
    <row r="44" spans="1:12" ht="20.25">
      <c r="A44" s="210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</row>
    <row r="45" spans="1:12" ht="26.25">
      <c r="A45" s="25" t="s">
        <v>1</v>
      </c>
      <c r="B45" s="13"/>
      <c r="C45" s="13"/>
      <c r="D45" s="13"/>
      <c r="E45" s="13"/>
      <c r="F45" s="13"/>
      <c r="G45" s="13"/>
      <c r="H45" s="13"/>
      <c r="I45" s="13"/>
      <c r="J45" s="13"/>
      <c r="K45" s="210"/>
      <c r="L45" s="210"/>
    </row>
    <row r="46" spans="1:12" ht="20.25">
      <c r="A46" s="26" t="s">
        <v>9</v>
      </c>
      <c r="B46" s="13"/>
      <c r="C46" s="13"/>
      <c r="D46" s="13"/>
      <c r="E46" s="13"/>
      <c r="F46" s="13"/>
      <c r="G46" s="13"/>
      <c r="H46" s="13"/>
      <c r="I46" s="13"/>
      <c r="J46" s="13"/>
      <c r="K46" s="210"/>
      <c r="L46" s="210"/>
    </row>
    <row r="47" spans="1:12" ht="20.25">
      <c r="A47" s="27" t="s">
        <v>485</v>
      </c>
      <c r="B47" s="13"/>
      <c r="C47" s="13"/>
      <c r="D47" s="13"/>
      <c r="E47" s="13"/>
      <c r="F47" s="13"/>
      <c r="G47" s="13"/>
      <c r="H47" s="13"/>
      <c r="I47" s="13"/>
      <c r="J47" s="13"/>
      <c r="K47" s="210"/>
      <c r="L47" s="210"/>
    </row>
    <row r="48" spans="1:12" ht="20.25">
      <c r="A48" s="27"/>
      <c r="B48" s="13"/>
      <c r="C48" s="13"/>
      <c r="D48" s="13"/>
      <c r="E48" s="13"/>
      <c r="F48" s="13"/>
      <c r="G48" s="13"/>
      <c r="H48" s="13"/>
      <c r="I48" s="13"/>
      <c r="J48" s="13"/>
      <c r="K48" s="210"/>
      <c r="L48" s="210"/>
    </row>
    <row r="49" spans="1:12" ht="20.25">
      <c r="A49" s="27"/>
      <c r="B49" s="13"/>
      <c r="C49" s="13"/>
      <c r="D49" s="13"/>
      <c r="E49" s="13"/>
      <c r="F49" s="13"/>
      <c r="G49" s="13"/>
      <c r="H49" s="13"/>
      <c r="I49" s="13"/>
      <c r="J49" s="13"/>
      <c r="K49" s="210"/>
      <c r="L49" s="210"/>
    </row>
    <row r="50" spans="1:12" ht="20.25">
      <c r="A50" s="27"/>
      <c r="B50" s="13"/>
      <c r="C50" s="13"/>
      <c r="D50" s="13"/>
      <c r="E50" s="13"/>
      <c r="F50" s="13"/>
      <c r="G50" s="13"/>
      <c r="H50" s="13"/>
      <c r="I50" s="13"/>
      <c r="J50" s="13"/>
      <c r="K50" s="210"/>
      <c r="L50" s="210"/>
    </row>
    <row r="51" spans="1:12" ht="21" thickBot="1">
      <c r="B51" s="13"/>
      <c r="C51" s="13"/>
      <c r="D51" s="13"/>
      <c r="E51" s="13"/>
      <c r="F51" s="30"/>
      <c r="G51" s="30"/>
      <c r="H51" s="487" t="s">
        <v>0</v>
      </c>
      <c r="I51" s="13"/>
      <c r="J51" s="13"/>
      <c r="K51" s="210"/>
      <c r="L51" s="210"/>
    </row>
    <row r="52" spans="1:12" ht="26.25">
      <c r="B52" s="13"/>
      <c r="C52" s="13"/>
      <c r="D52" s="13"/>
      <c r="E52" s="13"/>
      <c r="F52" s="13"/>
      <c r="G52" s="32" t="s">
        <v>288</v>
      </c>
      <c r="H52" s="13"/>
      <c r="I52" s="13"/>
      <c r="J52" s="13"/>
      <c r="K52" s="210"/>
      <c r="L52" s="210"/>
    </row>
    <row r="53" spans="1:12" ht="21" thickBot="1">
      <c r="B53" s="41" t="s">
        <v>0</v>
      </c>
      <c r="C53" s="41" t="s">
        <v>0</v>
      </c>
      <c r="D53" s="13"/>
      <c r="E53" s="13"/>
      <c r="F53" s="34" t="s">
        <v>0</v>
      </c>
      <c r="G53" s="37" t="s">
        <v>498</v>
      </c>
      <c r="H53" s="34" t="s">
        <v>0</v>
      </c>
      <c r="I53" s="41" t="s">
        <v>0</v>
      </c>
      <c r="J53" s="13"/>
      <c r="K53" s="210"/>
      <c r="L53" s="210"/>
    </row>
    <row r="54" spans="1:12" ht="20.25">
      <c r="A54" s="210"/>
      <c r="B54" s="210"/>
      <c r="C54" s="210"/>
      <c r="D54" s="210"/>
      <c r="E54" s="210"/>
      <c r="F54" s="210"/>
      <c r="G54" s="210"/>
      <c r="H54" s="210"/>
      <c r="I54" s="210"/>
      <c r="J54" s="210"/>
      <c r="K54" s="210"/>
      <c r="L54" s="210"/>
    </row>
    <row r="55" spans="1:12" ht="20.25">
      <c r="A55" s="210"/>
      <c r="B55" s="210"/>
      <c r="C55" s="210"/>
      <c r="D55" s="210"/>
      <c r="E55" s="210"/>
      <c r="F55" s="210"/>
      <c r="G55" s="210"/>
      <c r="H55" s="210"/>
      <c r="I55" s="210"/>
      <c r="J55" s="210"/>
      <c r="K55" s="210"/>
      <c r="L55" s="210"/>
    </row>
    <row r="56" spans="1:12" ht="20.25">
      <c r="A56" s="210"/>
      <c r="B56" s="210"/>
      <c r="C56" s="210"/>
      <c r="D56" s="210"/>
      <c r="E56" s="210"/>
      <c r="F56" s="210"/>
      <c r="G56" s="210"/>
      <c r="H56" s="210"/>
      <c r="I56" s="210"/>
      <c r="J56" s="210"/>
      <c r="K56" s="210"/>
      <c r="L56" s="210"/>
    </row>
    <row r="57" spans="1:12" ht="16.5">
      <c r="A57" s="41"/>
      <c r="B57" s="41"/>
      <c r="C57" s="41"/>
      <c r="D57" s="13"/>
      <c r="E57" s="13"/>
      <c r="J57" s="13"/>
      <c r="K57" s="13"/>
      <c r="L57" s="13"/>
    </row>
    <row r="58" spans="1:12" ht="31.5">
      <c r="A58" s="204" t="s">
        <v>277</v>
      </c>
      <c r="B58" s="41"/>
      <c r="C58" s="206" t="s">
        <v>282</v>
      </c>
      <c r="D58" s="13"/>
      <c r="E58" s="13"/>
      <c r="J58" s="13"/>
      <c r="K58" s="13"/>
      <c r="L58" s="13"/>
    </row>
    <row r="59" spans="1:12" ht="31.5">
      <c r="A59" s="204" t="s">
        <v>281</v>
      </c>
      <c r="B59" s="41"/>
      <c r="C59" s="206" t="s">
        <v>287</v>
      </c>
      <c r="D59" s="13"/>
      <c r="E59" s="13"/>
      <c r="J59" s="13"/>
      <c r="K59" s="13"/>
      <c r="L59" s="13"/>
    </row>
    <row r="60" spans="1:12" ht="18.75" customHeight="1">
      <c r="A60" s="204"/>
      <c r="B60" s="41"/>
      <c r="C60" s="206"/>
      <c r="D60" s="13"/>
      <c r="E60" s="13"/>
      <c r="J60" s="13"/>
      <c r="K60" s="13"/>
      <c r="L60" s="13"/>
    </row>
    <row r="61" spans="1:12" ht="17.25">
      <c r="A61" s="205" t="s">
        <v>278</v>
      </c>
      <c r="B61" s="41"/>
      <c r="C61" s="41"/>
      <c r="D61" s="13"/>
      <c r="E61" s="13"/>
      <c r="J61" s="13"/>
      <c r="K61" s="13"/>
      <c r="L61" s="13"/>
    </row>
    <row r="62" spans="1:12" ht="17.25">
      <c r="A62" s="205" t="s">
        <v>279</v>
      </c>
      <c r="B62" s="41"/>
      <c r="C62" s="41"/>
      <c r="D62" s="13"/>
      <c r="E62" s="13"/>
      <c r="J62" s="13"/>
      <c r="K62" s="13"/>
      <c r="L62" s="13"/>
    </row>
    <row r="63" spans="1:12" ht="17.25">
      <c r="A63" s="205" t="s">
        <v>280</v>
      </c>
      <c r="B63" s="41"/>
      <c r="C63" s="41"/>
      <c r="D63" s="13"/>
      <c r="E63" s="13"/>
      <c r="J63" s="13"/>
      <c r="K63" s="13"/>
      <c r="L63" s="13"/>
    </row>
    <row r="69" spans="1:9" ht="31.5">
      <c r="A69" s="207" t="s">
        <v>286</v>
      </c>
      <c r="B69" s="111"/>
      <c r="C69" s="111"/>
      <c r="D69" s="111"/>
      <c r="E69" s="111"/>
      <c r="F69" s="111"/>
      <c r="G69" s="13"/>
      <c r="H69" s="13"/>
      <c r="I69" s="13"/>
    </row>
    <row r="70" spans="1:9" ht="17.25">
      <c r="A70" s="111"/>
      <c r="B70" s="111"/>
      <c r="C70" s="111"/>
      <c r="D70" s="111"/>
      <c r="E70" s="111"/>
      <c r="F70" s="111"/>
      <c r="G70" s="13"/>
      <c r="H70" s="13"/>
      <c r="I70" s="13"/>
    </row>
    <row r="71" spans="1:9" ht="18" thickBot="1">
      <c r="A71" s="208" t="s">
        <v>283</v>
      </c>
      <c r="B71" s="112"/>
      <c r="C71" s="112"/>
      <c r="D71" s="209" t="s">
        <v>285</v>
      </c>
      <c r="E71" s="112"/>
      <c r="F71" s="111"/>
      <c r="G71" s="13"/>
      <c r="H71" s="13"/>
      <c r="I71" s="13"/>
    </row>
    <row r="72" spans="1:9" ht="17.25">
      <c r="A72" s="111"/>
      <c r="B72" s="111"/>
      <c r="C72" s="111"/>
      <c r="D72" s="111" t="s">
        <v>284</v>
      </c>
      <c r="E72" s="111"/>
      <c r="F72" s="111"/>
      <c r="G72" s="13"/>
      <c r="H72" s="13"/>
      <c r="I72" s="13"/>
    </row>
    <row r="73" spans="1:9" ht="17.25">
      <c r="A73" s="111"/>
      <c r="B73" s="111"/>
      <c r="C73" s="111"/>
      <c r="D73" s="111"/>
      <c r="E73" s="111"/>
      <c r="F73" s="111"/>
      <c r="G73" s="13"/>
      <c r="H73" s="13"/>
      <c r="I73" s="13"/>
    </row>
    <row r="74" spans="1:9" ht="16.5">
      <c r="A74" s="13"/>
      <c r="B74" s="13"/>
      <c r="C74" s="13"/>
      <c r="D74" s="13"/>
      <c r="E74" s="13"/>
      <c r="F74" s="13"/>
      <c r="G74" s="13"/>
      <c r="H74" s="13"/>
      <c r="I74" s="13"/>
    </row>
    <row r="75" spans="1:9" ht="16.5">
      <c r="A75" s="13"/>
      <c r="B75" s="13"/>
      <c r="C75" s="13"/>
      <c r="D75" s="13"/>
      <c r="E75" s="13"/>
      <c r="F75" s="13"/>
      <c r="G75" s="13"/>
      <c r="H75" s="13"/>
      <c r="I75" s="13"/>
    </row>
    <row r="76" spans="1:9" ht="16.5">
      <c r="A76" s="13"/>
      <c r="B76" s="13"/>
      <c r="C76" s="13"/>
      <c r="D76" s="13"/>
      <c r="E76" s="13"/>
      <c r="F76" s="13"/>
      <c r="G76" s="13"/>
      <c r="H76" s="13"/>
      <c r="I76" s="13"/>
    </row>
    <row r="77" spans="1:9" ht="16.5">
      <c r="A77" s="13"/>
      <c r="B77" s="13"/>
      <c r="C77" s="13"/>
      <c r="D77" s="13"/>
      <c r="E77" s="13"/>
      <c r="F77" s="13"/>
      <c r="G77" s="13"/>
      <c r="H77" s="13"/>
      <c r="I77" s="13"/>
    </row>
    <row r="78" spans="1:9" ht="16.5">
      <c r="A78" s="13"/>
      <c r="B78" s="13"/>
      <c r="C78" s="13"/>
      <c r="D78" s="13"/>
      <c r="E78" s="13"/>
      <c r="F78" s="13"/>
      <c r="G78" s="13"/>
      <c r="H78" s="13"/>
      <c r="I78" s="13"/>
    </row>
    <row r="79" spans="1:9" ht="16.5">
      <c r="A79" s="13" t="s">
        <v>0</v>
      </c>
      <c r="B79" s="13"/>
      <c r="C79" s="13"/>
      <c r="D79" s="13"/>
      <c r="E79" s="13"/>
      <c r="F79" s="13"/>
      <c r="G79" s="13"/>
      <c r="H79" s="13"/>
      <c r="I79" s="13"/>
    </row>
    <row r="80" spans="1:9" ht="16.5">
      <c r="A80" s="13"/>
      <c r="B80" s="13"/>
      <c r="C80" s="13"/>
      <c r="D80" s="13"/>
      <c r="E80" s="13"/>
      <c r="F80" s="13"/>
      <c r="G80" s="13"/>
      <c r="H80" s="13"/>
      <c r="I80" s="13"/>
    </row>
  </sheetData>
  <pageMargins left="0.25" right="0.25" top="0.75" bottom="0.75" header="0.3" footer="0.3"/>
  <pageSetup scale="51" orientation="landscape" r:id="rId1"/>
  <rowBreaks count="1" manualBreakCount="1">
    <brk id="43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DCF-8362-451B-93E3-8D44BC877730}">
  <sheetPr>
    <tabColor rgb="FF92D050"/>
  </sheetPr>
  <dimension ref="A1:I38"/>
  <sheetViews>
    <sheetView view="pageBreakPreview" zoomScale="60" zoomScaleNormal="80" workbookViewId="0">
      <selection activeCell="B51" sqref="B51"/>
    </sheetView>
  </sheetViews>
  <sheetFormatPr defaultRowHeight="15"/>
  <cols>
    <col min="1" max="1" width="47" customWidth="1"/>
    <col min="2" max="2" width="17" customWidth="1"/>
    <col min="3" max="3" width="31.28515625" customWidth="1"/>
    <col min="4" max="4" width="17.5703125" customWidth="1"/>
    <col min="5" max="5" width="27.42578125" customWidth="1"/>
    <col min="6" max="6" width="26.85546875" customWidth="1"/>
    <col min="7" max="7" width="21.28515625" customWidth="1"/>
    <col min="8" max="8" width="32.140625" customWidth="1"/>
    <col min="9" max="9" width="14.140625" bestFit="1" customWidth="1"/>
    <col min="11" max="11" width="10.5703125" customWidth="1"/>
  </cols>
  <sheetData>
    <row r="1" spans="1:8" ht="26.25">
      <c r="A1" s="25" t="s">
        <v>1</v>
      </c>
      <c r="B1" s="13"/>
      <c r="C1" s="13"/>
      <c r="D1" s="13"/>
      <c r="E1" s="13"/>
      <c r="F1" s="13"/>
      <c r="G1" s="13"/>
      <c r="H1" s="13"/>
    </row>
    <row r="2" spans="1:8" ht="17.25">
      <c r="A2" s="26" t="s">
        <v>9</v>
      </c>
      <c r="B2" s="13"/>
      <c r="C2" s="13"/>
      <c r="D2" s="13"/>
      <c r="E2" s="13"/>
      <c r="F2" s="13"/>
      <c r="G2" s="13"/>
      <c r="H2" s="13"/>
    </row>
    <row r="3" spans="1:8" ht="16.5">
      <c r="A3" s="27" t="s">
        <v>485</v>
      </c>
      <c r="B3" s="13"/>
      <c r="C3" s="13"/>
      <c r="D3" s="13"/>
      <c r="E3" s="13"/>
      <c r="F3" s="13"/>
      <c r="G3" s="13"/>
      <c r="H3" s="13"/>
    </row>
    <row r="4" spans="1:8" ht="16.5">
      <c r="A4" s="27"/>
      <c r="B4" s="13"/>
      <c r="C4" s="13"/>
      <c r="D4" s="13"/>
      <c r="E4" s="13"/>
      <c r="F4" s="13"/>
      <c r="G4" s="13"/>
      <c r="H4" s="13"/>
    </row>
    <row r="5" spans="1:8" ht="16.5">
      <c r="A5" s="27"/>
      <c r="B5" s="13"/>
      <c r="C5" s="13"/>
      <c r="D5" s="13"/>
      <c r="E5" s="13"/>
      <c r="F5" s="13"/>
      <c r="G5" s="13"/>
      <c r="H5" s="13"/>
    </row>
    <row r="6" spans="1:8" ht="16.5">
      <c r="A6" s="27"/>
      <c r="B6" s="13"/>
      <c r="C6" s="13"/>
      <c r="D6" s="13"/>
      <c r="E6" s="13"/>
      <c r="F6" s="13"/>
      <c r="G6" s="13"/>
      <c r="H6" s="13"/>
    </row>
    <row r="7" spans="1:8" ht="17.25" thickBot="1">
      <c r="A7" s="13"/>
      <c r="B7" s="13"/>
      <c r="C7" s="13"/>
      <c r="H7" s="13"/>
    </row>
    <row r="8" spans="1:8" ht="21" thickBot="1">
      <c r="A8" s="237" t="str">
        <f>+'S&amp;D'!A12</f>
        <v>Natural Gas Utility Distribution</v>
      </c>
      <c r="B8" s="176"/>
      <c r="C8" s="13"/>
      <c r="D8" s="30"/>
      <c r="E8" s="30"/>
      <c r="F8" s="30"/>
      <c r="H8" s="13"/>
    </row>
    <row r="9" spans="1:8" ht="26.25">
      <c r="A9" s="31"/>
      <c r="B9" s="13"/>
      <c r="C9" s="13"/>
      <c r="D9" s="13"/>
      <c r="E9" s="32" t="s">
        <v>136</v>
      </c>
      <c r="F9" s="32"/>
      <c r="H9" s="13"/>
    </row>
    <row r="10" spans="1:8" ht="21" thickBot="1">
      <c r="A10" s="31"/>
      <c r="B10" s="13"/>
      <c r="C10" s="13"/>
      <c r="D10" s="30"/>
      <c r="E10" s="37" t="s">
        <v>498</v>
      </c>
      <c r="F10" s="37"/>
      <c r="H10" s="13"/>
    </row>
    <row r="11" spans="1:8" ht="20.25">
      <c r="A11" s="31"/>
      <c r="B11" s="13"/>
      <c r="H11" s="13"/>
    </row>
    <row r="12" spans="1:8" ht="17.25" thickBot="1">
      <c r="A12" s="34" t="s">
        <v>0</v>
      </c>
      <c r="B12" s="34" t="s">
        <v>0</v>
      </c>
      <c r="C12" s="34" t="s">
        <v>0</v>
      </c>
      <c r="D12" s="34" t="s">
        <v>0</v>
      </c>
      <c r="E12" s="34" t="s">
        <v>0</v>
      </c>
      <c r="F12" s="34"/>
      <c r="G12" s="34"/>
      <c r="H12" s="30"/>
    </row>
    <row r="13" spans="1:8" ht="17.25">
      <c r="A13" s="90" t="s">
        <v>0</v>
      </c>
      <c r="B13" s="90" t="s">
        <v>3</v>
      </c>
      <c r="C13" s="90" t="s">
        <v>5</v>
      </c>
      <c r="D13" s="90" t="s">
        <v>179</v>
      </c>
      <c r="E13" s="165" t="s">
        <v>240</v>
      </c>
      <c r="F13" s="165" t="s">
        <v>327</v>
      </c>
      <c r="G13" s="90" t="s">
        <v>20</v>
      </c>
      <c r="H13" s="90" t="s">
        <v>157</v>
      </c>
    </row>
    <row r="14" spans="1:8" ht="18" thickBot="1">
      <c r="A14" s="99" t="s">
        <v>2</v>
      </c>
      <c r="B14" s="99" t="s">
        <v>4</v>
      </c>
      <c r="C14" s="99" t="s">
        <v>6</v>
      </c>
      <c r="D14" s="99" t="s">
        <v>23</v>
      </c>
      <c r="E14" s="99" t="s">
        <v>328</v>
      </c>
      <c r="F14" s="99" t="s">
        <v>202</v>
      </c>
      <c r="G14" s="99" t="s">
        <v>22</v>
      </c>
      <c r="H14" s="99" t="s">
        <v>134</v>
      </c>
    </row>
    <row r="15" spans="1:8">
      <c r="A15" s="39" t="s">
        <v>7</v>
      </c>
      <c r="B15" s="39" t="s">
        <v>7</v>
      </c>
      <c r="C15" s="39" t="s">
        <v>7</v>
      </c>
      <c r="D15" s="39" t="s">
        <v>7</v>
      </c>
      <c r="E15" s="201" t="s">
        <v>486</v>
      </c>
      <c r="F15" s="201" t="s">
        <v>486</v>
      </c>
      <c r="G15" s="39" t="s">
        <v>7</v>
      </c>
      <c r="H15" s="201" t="s">
        <v>486</v>
      </c>
    </row>
    <row r="16" spans="1:8" ht="16.5">
      <c r="A16" s="35"/>
      <c r="B16" s="35"/>
      <c r="C16" s="35"/>
      <c r="D16" s="35"/>
      <c r="G16" s="35"/>
      <c r="H16" s="35"/>
    </row>
    <row r="17" spans="1:9" ht="16.5">
      <c r="A17" s="13"/>
      <c r="B17" s="13"/>
      <c r="C17" s="13"/>
      <c r="D17" s="13"/>
      <c r="G17" s="13"/>
      <c r="H17" s="13"/>
    </row>
    <row r="18" spans="1:9" ht="20.25" customHeight="1">
      <c r="A18" s="63" t="str">
        <f>+'S&amp;D'!A22</f>
        <v>Atmos Energy Corp</v>
      </c>
      <c r="B18" s="90" t="str">
        <f>+'S&amp;D'!B22</f>
        <v>ATO</v>
      </c>
      <c r="C18" s="90" t="str">
        <f>+'S&amp;D'!C22</f>
        <v>Gas Utility</v>
      </c>
      <c r="D18" s="320">
        <v>0.2</v>
      </c>
      <c r="E18" s="135">
        <v>9.5000000000000001E-2</v>
      </c>
      <c r="F18" s="135">
        <v>0.05</v>
      </c>
      <c r="G18" s="90" t="s">
        <v>24</v>
      </c>
      <c r="H18" s="339">
        <v>0.8</v>
      </c>
    </row>
    <row r="19" spans="1:9" ht="20.25" customHeight="1">
      <c r="A19" s="63" t="str">
        <f>+'S&amp;D'!A23</f>
        <v>Black Hills Corporation</v>
      </c>
      <c r="B19" s="90" t="str">
        <f>+'S&amp;D'!B23</f>
        <v>BKH</v>
      </c>
      <c r="C19" s="90" t="str">
        <f>+'S&amp;D'!C23</f>
        <v>Electric Utility - West</v>
      </c>
      <c r="D19" s="136">
        <v>0.13500000000000001</v>
      </c>
      <c r="E19" s="135">
        <v>0.08</v>
      </c>
      <c r="F19" s="135">
        <v>0.08</v>
      </c>
      <c r="G19" s="90" t="s">
        <v>26</v>
      </c>
      <c r="H19" s="339">
        <v>0.85</v>
      </c>
    </row>
    <row r="20" spans="1:9" ht="20.25" customHeight="1">
      <c r="A20" s="63" t="str">
        <f>+'S&amp;D'!A24</f>
        <v>CenterPoint Energy Inc.</v>
      </c>
      <c r="B20" s="90" t="str">
        <f>+'S&amp;D'!B24</f>
        <v>CNP</v>
      </c>
      <c r="C20" s="90" t="str">
        <f>+'S&amp;D'!C24</f>
        <v>Electric Utility - Central</v>
      </c>
      <c r="D20" s="136">
        <v>0.16</v>
      </c>
      <c r="E20" s="135">
        <v>0.105</v>
      </c>
      <c r="F20" s="135">
        <v>0.05</v>
      </c>
      <c r="G20" s="90" t="s">
        <v>26</v>
      </c>
      <c r="H20" s="339">
        <v>0.8</v>
      </c>
    </row>
    <row r="21" spans="1:9" ht="20.25" customHeight="1">
      <c r="A21" s="63" t="str">
        <f>+'S&amp;D'!A25</f>
        <v>CMS Energy Corporation</v>
      </c>
      <c r="B21" s="90" t="str">
        <f>+'S&amp;D'!B25</f>
        <v>CMS</v>
      </c>
      <c r="C21" s="90" t="str">
        <f>+'S&amp;D'!C25</f>
        <v>Electric Utility - Central</v>
      </c>
      <c r="D21" s="136">
        <v>0.2</v>
      </c>
      <c r="E21" s="135">
        <v>0.12</v>
      </c>
      <c r="F21" s="135">
        <v>0.05</v>
      </c>
      <c r="G21" s="90" t="s">
        <v>26</v>
      </c>
      <c r="H21" s="339">
        <v>0.7</v>
      </c>
    </row>
    <row r="22" spans="1:9" ht="20.25" customHeight="1">
      <c r="A22" s="63" t="str">
        <f>+'S&amp;D'!A26</f>
        <v>New Jersey Resources Corp</v>
      </c>
      <c r="B22" s="90" t="str">
        <f>+'S&amp;D'!B26</f>
        <v>NJR</v>
      </c>
      <c r="C22" s="90" t="str">
        <f>+'S&amp;D'!C26</f>
        <v>Gas Utility</v>
      </c>
      <c r="D22" s="136">
        <v>0.22</v>
      </c>
      <c r="E22" s="135">
        <v>0.13500000000000001</v>
      </c>
      <c r="F22" s="135">
        <v>0.06</v>
      </c>
      <c r="G22" s="90" t="s">
        <v>24</v>
      </c>
      <c r="H22" s="339">
        <v>0.75</v>
      </c>
    </row>
    <row r="23" spans="1:9" ht="20.25" customHeight="1">
      <c r="A23" s="63" t="str">
        <f>+'S&amp;D'!A27</f>
        <v>NISOURCE Inc.</v>
      </c>
      <c r="B23" s="90" t="str">
        <f>+'S&amp;D'!B27</f>
        <v>NI</v>
      </c>
      <c r="C23" s="90" t="str">
        <f>+'S&amp;D'!C27</f>
        <v>Gas Utility</v>
      </c>
      <c r="D23" s="136">
        <v>0.19</v>
      </c>
      <c r="E23" s="135">
        <v>0.08</v>
      </c>
      <c r="F23" s="135">
        <v>0.03</v>
      </c>
      <c r="G23" s="90" t="s">
        <v>26</v>
      </c>
      <c r="H23" s="339">
        <v>0.85</v>
      </c>
    </row>
    <row r="24" spans="1:9" ht="20.25" customHeight="1">
      <c r="A24" s="63" t="str">
        <f>+'S&amp;D'!A28</f>
        <v xml:space="preserve">Northwest Natural Holding Company </v>
      </c>
      <c r="B24" s="90" t="str">
        <f>+'S&amp;D'!B28</f>
        <v>NWN</v>
      </c>
      <c r="C24" s="90" t="str">
        <f>+'S&amp;D'!C28</f>
        <v>Gas Utility</v>
      </c>
      <c r="D24" s="136">
        <v>0.25</v>
      </c>
      <c r="E24" s="135">
        <v>0.08</v>
      </c>
      <c r="F24" s="135">
        <v>0.08</v>
      </c>
      <c r="G24" s="90" t="s">
        <v>24</v>
      </c>
      <c r="H24" s="339">
        <v>0.8</v>
      </c>
      <c r="I24" s="11" t="s">
        <v>0</v>
      </c>
    </row>
    <row r="25" spans="1:9" ht="20.25" customHeight="1">
      <c r="A25" s="63" t="str">
        <f>+'S&amp;D'!A29</f>
        <v>One Gas INC</v>
      </c>
      <c r="B25" s="90" t="str">
        <f>+'S&amp;D'!B29</f>
        <v>OGS</v>
      </c>
      <c r="C25" s="90" t="str">
        <f>+'S&amp;D'!C29</f>
        <v>Gas Utility</v>
      </c>
      <c r="D25" s="136">
        <v>0.18</v>
      </c>
      <c r="E25" s="135">
        <v>8.5000000000000006E-2</v>
      </c>
      <c r="F25" s="135">
        <v>3.5000000000000003E-2</v>
      </c>
      <c r="G25" s="90" t="s">
        <v>24</v>
      </c>
      <c r="H25" s="339">
        <v>0.75</v>
      </c>
      <c r="I25" s="11"/>
    </row>
    <row r="26" spans="1:9" ht="20.25" customHeight="1">
      <c r="A26" s="63" t="str">
        <f>+'S&amp;D'!A30</f>
        <v>Southwest Gas Holdings, Inc</v>
      </c>
      <c r="B26" s="90" t="str">
        <f>+'S&amp;D'!B30</f>
        <v>SWX</v>
      </c>
      <c r="C26" s="90" t="str">
        <f>+'S&amp;D'!C30</f>
        <v>Gas Utility</v>
      </c>
      <c r="D26" s="136">
        <v>0.2</v>
      </c>
      <c r="E26" s="135">
        <v>7.4999999999999997E-2</v>
      </c>
      <c r="F26" s="135">
        <v>0.03</v>
      </c>
      <c r="G26" s="90" t="s">
        <v>26</v>
      </c>
      <c r="H26" s="339">
        <v>0.8</v>
      </c>
      <c r="I26" s="11"/>
    </row>
    <row r="27" spans="1:9" ht="20.25" customHeight="1">
      <c r="A27" s="63" t="str">
        <f>+'S&amp;D'!A31</f>
        <v>Spire Inc / Laclede Group Inc</v>
      </c>
      <c r="B27" s="90" t="str">
        <f>+'S&amp;D'!B31</f>
        <v>SR</v>
      </c>
      <c r="C27" s="90" t="str">
        <f>+'S&amp;D'!C31</f>
        <v>Gas Utility</v>
      </c>
      <c r="D27" s="136">
        <v>0.19500000000000001</v>
      </c>
      <c r="E27" s="135">
        <v>0.1</v>
      </c>
      <c r="F27" s="135">
        <v>3.5000000000000003E-2</v>
      </c>
      <c r="G27" s="90" t="s">
        <v>26</v>
      </c>
      <c r="H27" s="339">
        <v>0.75</v>
      </c>
      <c r="I27" s="11" t="s">
        <v>0</v>
      </c>
    </row>
    <row r="28" spans="1:9" ht="20.25" customHeight="1" thickBot="1">
      <c r="A28" s="63" t="str">
        <f>+'S&amp;D'!A32</f>
        <v>WEC Energy Group</v>
      </c>
      <c r="B28" s="90" t="str">
        <f>+'S&amp;D'!B32</f>
        <v>WEC</v>
      </c>
      <c r="C28" s="90" t="str">
        <f>+'S&amp;D'!C32</f>
        <v>Electric Utility - Central</v>
      </c>
      <c r="D28" s="136">
        <v>0.19</v>
      </c>
      <c r="E28" s="135">
        <v>0.125</v>
      </c>
      <c r="F28" s="135">
        <v>0.04</v>
      </c>
      <c r="G28" s="90" t="s">
        <v>24</v>
      </c>
      <c r="H28" s="340">
        <v>0.7</v>
      </c>
      <c r="I28" s="11"/>
    </row>
    <row r="29" spans="1:9" ht="20.25" customHeight="1" thickTop="1">
      <c r="A29" s="111"/>
      <c r="B29" s="111"/>
      <c r="C29" s="4"/>
      <c r="D29" s="163" t="s">
        <v>0</v>
      </c>
      <c r="E29" s="4"/>
      <c r="F29" s="4"/>
      <c r="G29" s="120" t="s">
        <v>56</v>
      </c>
      <c r="H29" s="336">
        <f>MAX(H18:H28)</f>
        <v>0.85</v>
      </c>
    </row>
    <row r="30" spans="1:9" ht="20.25" customHeight="1">
      <c r="A30" s="111"/>
      <c r="B30" s="111"/>
      <c r="C30" s="4"/>
      <c r="D30" s="163" t="s">
        <v>0</v>
      </c>
      <c r="E30" s="4"/>
      <c r="F30" s="4"/>
      <c r="G30" s="120" t="s">
        <v>57</v>
      </c>
      <c r="H30" s="337">
        <f>MIN(H18:H28)</f>
        <v>0.7</v>
      </c>
    </row>
    <row r="31" spans="1:9" ht="20.25" customHeight="1">
      <c r="A31" s="111"/>
      <c r="B31" s="111"/>
      <c r="C31" s="4"/>
      <c r="D31" s="164" t="s">
        <v>0</v>
      </c>
      <c r="E31" s="4"/>
      <c r="F31" s="4"/>
      <c r="G31" s="120" t="s">
        <v>18</v>
      </c>
      <c r="H31" s="338">
        <f>MEDIAN(H18:H28)</f>
        <v>0.8</v>
      </c>
    </row>
    <row r="32" spans="1:9" ht="20.25" customHeight="1">
      <c r="A32" s="111"/>
      <c r="B32" s="111"/>
      <c r="C32" s="4"/>
      <c r="D32" s="123" t="s">
        <v>0</v>
      </c>
      <c r="E32" s="4"/>
      <c r="F32" s="4"/>
      <c r="G32" s="120" t="s">
        <v>413</v>
      </c>
      <c r="H32" s="338">
        <f>AVERAGE(H18:H28)</f>
        <v>0.77727272727272723</v>
      </c>
    </row>
    <row r="33" spans="1:8" ht="20.25" customHeight="1" thickBot="1">
      <c r="A33" s="13"/>
      <c r="B33" s="13"/>
      <c r="C33" s="13"/>
      <c r="D33" s="13"/>
      <c r="G33" s="13"/>
      <c r="H33" s="14"/>
    </row>
    <row r="34" spans="1:8" ht="20.25" customHeight="1" thickBot="1">
      <c r="A34" s="13"/>
      <c r="B34" s="13"/>
      <c r="C34" s="13"/>
      <c r="D34" s="13"/>
      <c r="G34" s="182" t="s">
        <v>92</v>
      </c>
      <c r="H34" s="269">
        <v>0.78</v>
      </c>
    </row>
    <row r="37" spans="1:8" ht="17.25">
      <c r="A37" s="111" t="s">
        <v>329</v>
      </c>
    </row>
    <row r="38" spans="1:8" ht="17.25">
      <c r="A38" s="111" t="s">
        <v>330</v>
      </c>
    </row>
  </sheetData>
  <pageMargins left="0.25" right="0.25" top="0.75" bottom="0.75" header="0.3" footer="0.3"/>
  <pageSetup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0854-9225-4685-BC0B-402957CF1047}">
  <sheetPr>
    <tabColor rgb="FF92D050"/>
  </sheetPr>
  <dimension ref="A1:K34"/>
  <sheetViews>
    <sheetView view="pageBreakPreview" zoomScale="60" zoomScaleNormal="80" workbookViewId="0">
      <selection activeCell="F6" sqref="F6"/>
    </sheetView>
  </sheetViews>
  <sheetFormatPr defaultRowHeight="15"/>
  <cols>
    <col min="1" max="1" width="50.42578125" customWidth="1"/>
    <col min="2" max="2" width="10.85546875" bestFit="1" customWidth="1"/>
    <col min="3" max="3" width="28.7109375" customWidth="1"/>
    <col min="4" max="4" width="15.28515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6.5">
      <c r="A3" s="27" t="s">
        <v>485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16.5">
      <c r="A4" s="27"/>
      <c r="B4" s="13"/>
      <c r="C4" s="13"/>
      <c r="D4" s="13"/>
      <c r="E4" s="13"/>
      <c r="F4" s="13"/>
      <c r="G4" s="13"/>
      <c r="H4" s="13"/>
      <c r="I4" s="13"/>
      <c r="J4" s="13"/>
    </row>
    <row r="5" spans="1:11" ht="17.25" thickBot="1">
      <c r="A5" s="13"/>
      <c r="B5" s="13"/>
      <c r="C5" s="13"/>
      <c r="D5" s="13"/>
      <c r="E5" s="13"/>
      <c r="F5" s="13"/>
      <c r="G5" s="28"/>
      <c r="H5" s="13"/>
      <c r="I5" s="13"/>
      <c r="J5" s="13"/>
    </row>
    <row r="6" spans="1:11" ht="21" thickBot="1">
      <c r="A6" s="237" t="str">
        <f>+'S&amp;D'!A12</f>
        <v>Natural Gas Utility Distribution</v>
      </c>
      <c r="B6" s="176"/>
      <c r="C6" s="13"/>
      <c r="D6" s="30"/>
      <c r="E6" s="30"/>
      <c r="F6" s="486" t="s">
        <v>0</v>
      </c>
      <c r="G6" s="13"/>
      <c r="H6" s="13"/>
      <c r="I6" s="13"/>
      <c r="J6" s="13"/>
    </row>
    <row r="7" spans="1:11" ht="26.25">
      <c r="A7" s="31"/>
      <c r="B7" s="13"/>
      <c r="C7" s="13"/>
      <c r="D7" s="13"/>
      <c r="E7" s="32" t="s">
        <v>180</v>
      </c>
      <c r="F7" s="13"/>
      <c r="G7" s="13"/>
      <c r="H7" s="13"/>
      <c r="I7" s="13"/>
      <c r="J7" s="13"/>
    </row>
    <row r="8" spans="1:11" ht="21" thickBot="1">
      <c r="A8" s="31"/>
      <c r="B8" s="13"/>
      <c r="C8" s="13"/>
      <c r="D8" s="30"/>
      <c r="E8" s="37" t="s">
        <v>498</v>
      </c>
      <c r="F8" s="30"/>
      <c r="G8" s="13"/>
      <c r="H8" s="13"/>
      <c r="I8" s="13"/>
      <c r="J8" s="13"/>
    </row>
    <row r="9" spans="1:11" ht="17.25" thickBot="1">
      <c r="A9" s="34" t="s">
        <v>0</v>
      </c>
      <c r="B9" s="34" t="s">
        <v>0</v>
      </c>
      <c r="C9" s="34" t="s">
        <v>0</v>
      </c>
      <c r="D9" s="34" t="s">
        <v>0</v>
      </c>
      <c r="E9" s="34" t="s">
        <v>0</v>
      </c>
      <c r="F9" s="34"/>
      <c r="G9" s="30"/>
      <c r="H9" s="30"/>
      <c r="I9" s="30"/>
      <c r="J9" s="30"/>
      <c r="K9" s="147"/>
    </row>
    <row r="10" spans="1:11" ht="16.5">
      <c r="A10" s="35" t="s">
        <v>0</v>
      </c>
      <c r="B10" s="35" t="s">
        <v>3</v>
      </c>
      <c r="C10" s="35" t="s">
        <v>5</v>
      </c>
      <c r="D10" s="35" t="s">
        <v>175</v>
      </c>
      <c r="E10" s="35" t="s">
        <v>176</v>
      </c>
      <c r="F10" s="35" t="s">
        <v>178</v>
      </c>
      <c r="G10" s="35" t="s">
        <v>176</v>
      </c>
      <c r="H10" s="35" t="s">
        <v>178</v>
      </c>
      <c r="I10" s="35" t="s">
        <v>176</v>
      </c>
      <c r="J10" s="35" t="s">
        <v>178</v>
      </c>
      <c r="K10" s="35" t="s">
        <v>270</v>
      </c>
    </row>
    <row r="11" spans="1:11" ht="16.5">
      <c r="A11" s="35"/>
      <c r="B11" s="35" t="s">
        <v>4</v>
      </c>
      <c r="C11" s="35" t="s">
        <v>6</v>
      </c>
      <c r="D11" s="35" t="s">
        <v>28</v>
      </c>
      <c r="E11" s="35" t="s">
        <v>177</v>
      </c>
      <c r="F11" s="35" t="s">
        <v>135</v>
      </c>
      <c r="G11" s="35" t="s">
        <v>177</v>
      </c>
      <c r="H11" s="35" t="s">
        <v>135</v>
      </c>
      <c r="I11" s="35" t="s">
        <v>177</v>
      </c>
      <c r="J11" s="35" t="s">
        <v>135</v>
      </c>
      <c r="K11" s="35" t="s">
        <v>194</v>
      </c>
    </row>
    <row r="12" spans="1:11" ht="17.25" thickBot="1">
      <c r="A12" s="37" t="s">
        <v>2</v>
      </c>
      <c r="B12" s="37" t="s">
        <v>0</v>
      </c>
      <c r="C12" s="37" t="s">
        <v>0</v>
      </c>
      <c r="D12" s="37" t="s">
        <v>0</v>
      </c>
      <c r="E12" s="37" t="s">
        <v>179</v>
      </c>
      <c r="F12" s="37" t="s">
        <v>179</v>
      </c>
      <c r="G12" s="37" t="s">
        <v>268</v>
      </c>
      <c r="H12" s="37" t="s">
        <v>268</v>
      </c>
      <c r="I12" s="37" t="s">
        <v>269</v>
      </c>
      <c r="J12" s="37" t="s">
        <v>269</v>
      </c>
      <c r="K12" s="202" t="s">
        <v>271</v>
      </c>
    </row>
    <row r="13" spans="1:11">
      <c r="A13" s="39" t="s">
        <v>7</v>
      </c>
      <c r="B13" s="39" t="s">
        <v>7</v>
      </c>
      <c r="C13" s="39" t="s">
        <v>7</v>
      </c>
      <c r="D13" s="40" t="s">
        <v>131</v>
      </c>
      <c r="E13" s="39" t="s">
        <v>7</v>
      </c>
      <c r="F13" s="39" t="s">
        <v>0</v>
      </c>
      <c r="G13" s="39" t="s">
        <v>7</v>
      </c>
      <c r="H13" s="39" t="s">
        <v>0</v>
      </c>
      <c r="I13" s="39" t="s">
        <v>7</v>
      </c>
      <c r="J13" s="39" t="s">
        <v>0</v>
      </c>
      <c r="K13" s="39" t="s">
        <v>0</v>
      </c>
    </row>
    <row r="14" spans="1:11" ht="16.5">
      <c r="A14" s="35"/>
      <c r="B14" s="35"/>
      <c r="C14" s="35"/>
      <c r="D14" s="35"/>
      <c r="E14" s="35"/>
      <c r="F14" s="35"/>
      <c r="G14" s="13"/>
      <c r="H14" s="13"/>
      <c r="I14" s="13"/>
      <c r="J14" s="13"/>
      <c r="K14" s="13"/>
    </row>
    <row r="15" spans="1:11" ht="16.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17.25">
      <c r="A16" s="63" t="str">
        <f>+'S&amp;D'!A22</f>
        <v>Atmos Energy Corp</v>
      </c>
      <c r="B16" s="90" t="str">
        <f>+'S&amp;D'!B22</f>
        <v>ATO</v>
      </c>
      <c r="C16" s="90" t="str">
        <f>+'S&amp;D'!C22</f>
        <v>Gas Utility</v>
      </c>
      <c r="D16" s="60">
        <f>+'S&amp;D'!G22</f>
        <v>167.63</v>
      </c>
      <c r="E16" s="308">
        <v>4</v>
      </c>
      <c r="F16" s="54">
        <f>+E16/D16</f>
        <v>2.3862077193819723E-2</v>
      </c>
      <c r="G16" s="308">
        <v>4.24</v>
      </c>
      <c r="H16" s="54">
        <f>+G16/D16</f>
        <v>2.5293801825448908E-2</v>
      </c>
      <c r="I16" s="308">
        <v>5.05</v>
      </c>
      <c r="J16" s="54">
        <f>+I16/D16</f>
        <v>3.0125872457197399E-2</v>
      </c>
      <c r="K16" s="321">
        <f>RATE(3,,-G16,I16)</f>
        <v>6.0006448240885406E-2</v>
      </c>
    </row>
    <row r="17" spans="1:11" ht="17.25">
      <c r="A17" s="63" t="str">
        <f>+'S&amp;D'!A23</f>
        <v>Black Hills Corporation</v>
      </c>
      <c r="B17" s="90" t="str">
        <f>+'S&amp;D'!B23</f>
        <v>BKH</v>
      </c>
      <c r="C17" s="90" t="str">
        <f>+'S&amp;D'!C23</f>
        <v>Electric Utility - West</v>
      </c>
      <c r="D17" s="60">
        <f>+'S&amp;D'!G23</f>
        <v>69.42</v>
      </c>
      <c r="E17" s="308">
        <v>2.81</v>
      </c>
      <c r="F17" s="54">
        <f t="shared" ref="F17:F26" si="0">+E17/D17</f>
        <v>4.047824834341688E-2</v>
      </c>
      <c r="G17" s="308">
        <v>2.9</v>
      </c>
      <c r="H17" s="54">
        <f t="shared" ref="H17:H26" si="1">+G17/D17</f>
        <v>4.177470469605301E-2</v>
      </c>
      <c r="I17" s="308">
        <v>3.1</v>
      </c>
      <c r="J17" s="54">
        <f t="shared" ref="J17:J26" si="2">+I17/D17</f>
        <v>4.4655718813022181E-2</v>
      </c>
      <c r="K17" s="321">
        <f>RATE(3,,-G17,I17)</f>
        <v>2.2479396046706079E-2</v>
      </c>
    </row>
    <row r="18" spans="1:11" ht="17.25">
      <c r="A18" s="63" t="str">
        <f>+'S&amp;D'!A24</f>
        <v>CenterPoint Energy Inc.</v>
      </c>
      <c r="B18" s="90" t="str">
        <f>+'S&amp;D'!B24</f>
        <v>CNP</v>
      </c>
      <c r="C18" s="90" t="str">
        <f>+'S&amp;D'!C24</f>
        <v>Electric Utility - Central</v>
      </c>
      <c r="D18" s="60">
        <f>+'S&amp;D'!G24</f>
        <v>38.340000000000003</v>
      </c>
      <c r="E18" s="308">
        <v>0.95</v>
      </c>
      <c r="F18" s="54">
        <f t="shared" si="0"/>
        <v>2.4778299426186746E-2</v>
      </c>
      <c r="G18" s="308">
        <v>1.1499999999999999</v>
      </c>
      <c r="H18" s="54">
        <f t="shared" si="1"/>
        <v>2.999478351591027E-2</v>
      </c>
      <c r="I18" s="308">
        <v>1.25</v>
      </c>
      <c r="J18" s="54">
        <f t="shared" si="2"/>
        <v>3.2603025560772034E-2</v>
      </c>
      <c r="K18" s="321">
        <f t="shared" ref="K18:K26" si="3">RATE(3,,-G18,I18)</f>
        <v>2.8183722701926761E-2</v>
      </c>
    </row>
    <row r="19" spans="1:11" ht="17.25">
      <c r="A19" s="63" t="str">
        <f>+'S&amp;D'!A25</f>
        <v>CMS Energy Corporation</v>
      </c>
      <c r="B19" s="90" t="str">
        <f>+'S&amp;D'!B25</f>
        <v>CMS</v>
      </c>
      <c r="C19" s="90" t="str">
        <f>+'S&amp;D'!C25</f>
        <v>Electric Utility - Central</v>
      </c>
      <c r="D19" s="60">
        <f>+'S&amp;D'!G25</f>
        <v>69.930000000000007</v>
      </c>
      <c r="E19" s="308">
        <v>2.2999999999999998</v>
      </c>
      <c r="F19" s="54">
        <f t="shared" si="0"/>
        <v>3.2890032890032887E-2</v>
      </c>
      <c r="G19" s="308">
        <v>2.5</v>
      </c>
      <c r="H19" s="54">
        <f t="shared" si="1"/>
        <v>3.5750035750035748E-2</v>
      </c>
      <c r="I19" s="308">
        <v>3.1</v>
      </c>
      <c r="J19" s="54">
        <f t="shared" si="2"/>
        <v>4.4330044330044324E-2</v>
      </c>
      <c r="K19" s="321">
        <f t="shared" si="3"/>
        <v>7.4337070989087442E-2</v>
      </c>
    </row>
    <row r="20" spans="1:11" ht="17.25">
      <c r="A20" s="63" t="str">
        <f>+'S&amp;D'!A26</f>
        <v>New Jersey Resources Corp</v>
      </c>
      <c r="B20" s="90" t="str">
        <f>+'S&amp;D'!B26</f>
        <v>NJR</v>
      </c>
      <c r="C20" s="90" t="str">
        <f>+'S&amp;D'!C26</f>
        <v>Gas Utility</v>
      </c>
      <c r="D20" s="60">
        <f>+'S&amp;D'!G26</f>
        <v>46.12</v>
      </c>
      <c r="E20" s="308">
        <v>1.9</v>
      </c>
      <c r="F20" s="54">
        <f t="shared" si="0"/>
        <v>4.1196877710320899E-2</v>
      </c>
      <c r="G20" s="308">
        <v>2.1</v>
      </c>
      <c r="H20" s="54">
        <f t="shared" si="1"/>
        <v>4.5533391153512577E-2</v>
      </c>
      <c r="I20" s="308">
        <v>2.4</v>
      </c>
      <c r="J20" s="54">
        <f t="shared" si="2"/>
        <v>5.2038161318300087E-2</v>
      </c>
      <c r="K20" s="321">
        <f t="shared" si="3"/>
        <v>4.55159171494205E-2</v>
      </c>
    </row>
    <row r="21" spans="1:11" ht="17.25">
      <c r="A21" s="63" t="str">
        <f>+'S&amp;D'!A27</f>
        <v>NISOURCE Inc.</v>
      </c>
      <c r="B21" s="90" t="str">
        <f>+'S&amp;D'!B27</f>
        <v>NI</v>
      </c>
      <c r="C21" s="90" t="str">
        <f>+'S&amp;D'!C27</f>
        <v>Gas Utility</v>
      </c>
      <c r="D21" s="60">
        <f>+'S&amp;D'!G27</f>
        <v>41.76</v>
      </c>
      <c r="E21" s="308">
        <v>1.2</v>
      </c>
      <c r="F21" s="54">
        <f t="shared" si="0"/>
        <v>2.8735632183908046E-2</v>
      </c>
      <c r="G21" s="308">
        <v>1.28</v>
      </c>
      <c r="H21" s="54">
        <f t="shared" si="1"/>
        <v>3.0651340996168584E-2</v>
      </c>
      <c r="I21" s="308">
        <v>1.52</v>
      </c>
      <c r="J21" s="54">
        <f t="shared" si="2"/>
        <v>3.6398467432950193E-2</v>
      </c>
      <c r="K21" s="321">
        <f t="shared" si="3"/>
        <v>5.8955896068659357E-2</v>
      </c>
    </row>
    <row r="22" spans="1:11" ht="17.25">
      <c r="A22" s="63" t="str">
        <f>+'S&amp;D'!A28</f>
        <v xml:space="preserve">Northwest Natural Holding Company </v>
      </c>
      <c r="B22" s="90" t="str">
        <f>+'S&amp;D'!B28</f>
        <v>NWN</v>
      </c>
      <c r="C22" s="90" t="str">
        <f>+'S&amp;D'!C28</f>
        <v>Gas Utility</v>
      </c>
      <c r="D22" s="60">
        <f>+'S&amp;D'!G28</f>
        <v>46.74</v>
      </c>
      <c r="E22" s="308">
        <v>1.97</v>
      </c>
      <c r="F22" s="54">
        <f t="shared" si="0"/>
        <v>4.2148053059477962E-2</v>
      </c>
      <c r="G22" s="308">
        <v>1.97</v>
      </c>
      <c r="H22" s="54">
        <f t="shared" si="1"/>
        <v>4.2148053059477962E-2</v>
      </c>
      <c r="I22" s="308">
        <v>2</v>
      </c>
      <c r="J22" s="54">
        <f t="shared" si="2"/>
        <v>4.2789901583226354E-2</v>
      </c>
      <c r="K22" s="341">
        <f t="shared" si="3"/>
        <v>5.050590721096016E-3</v>
      </c>
    </row>
    <row r="23" spans="1:11" ht="17.25">
      <c r="A23" s="63" t="str">
        <f>+'S&amp;D'!A29</f>
        <v>One Gas INC</v>
      </c>
      <c r="B23" s="90" t="str">
        <f>+'S&amp;D'!B29</f>
        <v>OGS</v>
      </c>
      <c r="C23" s="90" t="str">
        <f>+'S&amp;D'!C29</f>
        <v>Gas Utility</v>
      </c>
      <c r="D23" s="60">
        <f>+'S&amp;D'!G29</f>
        <v>77.25</v>
      </c>
      <c r="E23" s="308">
        <v>2.72</v>
      </c>
      <c r="F23" s="54">
        <f t="shared" si="0"/>
        <v>3.521035598705502E-2</v>
      </c>
      <c r="G23" s="308">
        <v>2.76</v>
      </c>
      <c r="H23" s="54">
        <f t="shared" si="1"/>
        <v>3.572815533980582E-2</v>
      </c>
      <c r="I23" s="308">
        <v>2.95</v>
      </c>
      <c r="J23" s="54">
        <f t="shared" si="2"/>
        <v>3.8187702265372173E-2</v>
      </c>
      <c r="K23" s="321">
        <f t="shared" si="3"/>
        <v>2.2439559704434626E-2</v>
      </c>
    </row>
    <row r="24" spans="1:11" ht="17.25">
      <c r="A24" s="63" t="str">
        <f>+'S&amp;D'!A30</f>
        <v>Southwest Gas Holdings, Inc</v>
      </c>
      <c r="B24" s="90" t="str">
        <f>+'S&amp;D'!B30</f>
        <v>SWX</v>
      </c>
      <c r="C24" s="90" t="str">
        <f>+'S&amp;D'!C30</f>
        <v>Gas Utility</v>
      </c>
      <c r="D24" s="60">
        <f>+'S&amp;D'!G30</f>
        <v>80.02</v>
      </c>
      <c r="E24" s="308">
        <v>2.48</v>
      </c>
      <c r="F24" s="54">
        <f t="shared" si="0"/>
        <v>3.0992251937015748E-2</v>
      </c>
      <c r="G24" s="308">
        <v>2.48</v>
      </c>
      <c r="H24" s="54">
        <f t="shared" si="1"/>
        <v>3.0992251937015748E-2</v>
      </c>
      <c r="I24" s="308">
        <v>2.7</v>
      </c>
      <c r="J24" s="54">
        <f t="shared" si="2"/>
        <v>3.3741564608847793E-2</v>
      </c>
      <c r="K24" s="321">
        <f t="shared" si="3"/>
        <v>2.8736212718351965E-2</v>
      </c>
    </row>
    <row r="25" spans="1:11" ht="17.25">
      <c r="A25" s="63" t="str">
        <f>+'S&amp;D'!A31</f>
        <v>Spire Inc / Laclede Group Inc</v>
      </c>
      <c r="B25" s="90" t="str">
        <f>+'S&amp;D'!B31</f>
        <v>SR</v>
      </c>
      <c r="C25" s="90" t="str">
        <f>+'S&amp;D'!C31</f>
        <v>Gas Utility</v>
      </c>
      <c r="D25" s="60">
        <f>+'S&amp;D'!G31</f>
        <v>82.7</v>
      </c>
      <c r="E25" s="308">
        <v>3.3</v>
      </c>
      <c r="F25" s="54">
        <f t="shared" si="0"/>
        <v>3.990326481257557E-2</v>
      </c>
      <c r="G25" s="308">
        <v>3.46</v>
      </c>
      <c r="H25" s="54">
        <f t="shared" si="1"/>
        <v>4.1837968561064087E-2</v>
      </c>
      <c r="I25" s="308">
        <v>4</v>
      </c>
      <c r="J25" s="54">
        <f t="shared" si="2"/>
        <v>4.8367593712212817E-2</v>
      </c>
      <c r="K25" s="321">
        <f t="shared" si="3"/>
        <v>4.9529453306525965E-2</v>
      </c>
    </row>
    <row r="26" spans="1:11" ht="17.25">
      <c r="A26" s="63" t="str">
        <f>+'S&amp;D'!A32</f>
        <v>WEC Energy Group</v>
      </c>
      <c r="B26" s="90" t="str">
        <f>+'S&amp;D'!B32</f>
        <v>WEC</v>
      </c>
      <c r="C26" s="90" t="str">
        <f>+'S&amp;D'!C32</f>
        <v>Electric Utility - Central</v>
      </c>
      <c r="D26" s="60">
        <f>+'S&amp;D'!G32</f>
        <v>105.46</v>
      </c>
      <c r="E26" s="308">
        <v>3.81</v>
      </c>
      <c r="F26" s="54">
        <f t="shared" si="0"/>
        <v>3.6127441684050826E-2</v>
      </c>
      <c r="G26" s="308">
        <v>4</v>
      </c>
      <c r="H26" s="54">
        <f t="shared" si="1"/>
        <v>3.7929072634174096E-2</v>
      </c>
      <c r="I26" s="308">
        <v>4.59</v>
      </c>
      <c r="J26" s="54">
        <f t="shared" si="2"/>
        <v>4.3523610847714778E-2</v>
      </c>
      <c r="K26" s="321">
        <f t="shared" si="3"/>
        <v>4.6929807036333072E-2</v>
      </c>
    </row>
    <row r="27" spans="1:11" ht="17.25" thickBot="1">
      <c r="A27" s="13"/>
      <c r="B27" s="13"/>
      <c r="C27" s="44"/>
      <c r="D27" s="47"/>
      <c r="E27" s="47"/>
      <c r="F27" s="47"/>
      <c r="G27" s="47"/>
      <c r="H27" s="47"/>
      <c r="I27" s="47"/>
      <c r="J27" s="47"/>
      <c r="K27" s="47"/>
    </row>
    <row r="28" spans="1:11" ht="17.25" thickTop="1">
      <c r="A28" s="13"/>
      <c r="B28" s="13"/>
      <c r="D28" s="15" t="s">
        <v>56</v>
      </c>
      <c r="E28" s="17">
        <f>MAX(E16:E26)</f>
        <v>4</v>
      </c>
      <c r="F28" s="266">
        <f t="shared" ref="F28:K28" si="4">MAX(F16:F26)</f>
        <v>4.2148053059477962E-2</v>
      </c>
      <c r="G28" s="17">
        <f t="shared" si="4"/>
        <v>4.24</v>
      </c>
      <c r="H28" s="266">
        <f t="shared" si="4"/>
        <v>4.5533391153512577E-2</v>
      </c>
      <c r="I28" s="17">
        <f t="shared" si="4"/>
        <v>5.05</v>
      </c>
      <c r="J28" s="266">
        <f t="shared" si="4"/>
        <v>5.2038161318300087E-2</v>
      </c>
      <c r="K28" s="266">
        <f t="shared" si="4"/>
        <v>7.4337070989087442E-2</v>
      </c>
    </row>
    <row r="29" spans="1:11" ht="16.5">
      <c r="A29" s="13"/>
      <c r="B29" s="13"/>
      <c r="D29" s="15" t="s">
        <v>57</v>
      </c>
      <c r="E29" s="270">
        <f>MIN(E16:E26)</f>
        <v>0.95</v>
      </c>
      <c r="F29" s="267">
        <f t="shared" ref="F29:K29" si="5">MIN(F16:F26)</f>
        <v>2.3862077193819723E-2</v>
      </c>
      <c r="G29" s="270">
        <f t="shared" si="5"/>
        <v>1.1499999999999999</v>
      </c>
      <c r="H29" s="267">
        <f t="shared" si="5"/>
        <v>2.5293801825448908E-2</v>
      </c>
      <c r="I29" s="270">
        <f t="shared" si="5"/>
        <v>1.25</v>
      </c>
      <c r="J29" s="267">
        <f t="shared" si="5"/>
        <v>3.0125872457197399E-2</v>
      </c>
      <c r="K29" s="267">
        <f t="shared" si="5"/>
        <v>5.050590721096016E-3</v>
      </c>
    </row>
    <row r="30" spans="1:11" ht="16.5">
      <c r="A30" s="13"/>
      <c r="B30" s="13"/>
      <c r="D30" s="15" t="s">
        <v>18</v>
      </c>
      <c r="E30" s="18">
        <f t="shared" ref="E30:K30" si="6">MEDIAN(E16:E26)</f>
        <v>2.48</v>
      </c>
      <c r="F30" s="55">
        <f t="shared" si="6"/>
        <v>3.521035598705502E-2</v>
      </c>
      <c r="G30" s="18">
        <f t="shared" si="6"/>
        <v>2.5</v>
      </c>
      <c r="H30" s="55">
        <f t="shared" si="6"/>
        <v>3.5750035750035748E-2</v>
      </c>
      <c r="I30" s="18">
        <f t="shared" si="6"/>
        <v>2.95</v>
      </c>
      <c r="J30" s="55">
        <f t="shared" si="6"/>
        <v>4.2789901583226354E-2</v>
      </c>
      <c r="K30" s="55">
        <f t="shared" si="6"/>
        <v>4.55159171494205E-2</v>
      </c>
    </row>
    <row r="31" spans="1:11" ht="16.5">
      <c r="A31" s="13"/>
      <c r="B31" s="13"/>
      <c r="D31" s="15" t="s">
        <v>413</v>
      </c>
      <c r="E31" s="22">
        <f t="shared" ref="E31:K31" si="7">AVERAGE(E16:E26)</f>
        <v>2.4945454545454546</v>
      </c>
      <c r="F31" s="57">
        <f t="shared" si="7"/>
        <v>3.421113956616912E-2</v>
      </c>
      <c r="G31" s="22">
        <f t="shared" si="7"/>
        <v>2.6218181818181816</v>
      </c>
      <c r="H31" s="57">
        <f t="shared" si="7"/>
        <v>3.614850540624244E-2</v>
      </c>
      <c r="I31" s="22">
        <f t="shared" si="7"/>
        <v>2.9690909090909088</v>
      </c>
      <c r="J31" s="57">
        <f t="shared" si="7"/>
        <v>4.0614696629969103E-2</v>
      </c>
      <c r="K31" s="57">
        <f t="shared" si="7"/>
        <v>4.0196734062129751E-2</v>
      </c>
    </row>
    <row r="32" spans="1:11" ht="16.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26.25">
      <c r="A33" s="13"/>
      <c r="B33" s="13"/>
      <c r="C33" s="13"/>
      <c r="D33" s="13"/>
      <c r="E33" s="13"/>
      <c r="F33" s="49" t="s">
        <v>0</v>
      </c>
      <c r="G33" s="64" t="s">
        <v>0</v>
      </c>
      <c r="H33" s="13"/>
      <c r="I33" s="13"/>
      <c r="J33" s="13"/>
      <c r="K33" s="13"/>
    </row>
    <row r="34" spans="1:11" ht="18.75">
      <c r="A34" s="203" t="s">
        <v>272</v>
      </c>
    </row>
  </sheetData>
  <pageMargins left="0.25" right="0.25" top="0.75" bottom="0.75" header="0.3" footer="0.3"/>
  <pageSetup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96C7-3CA4-4A86-9548-2C135C060B79}">
  <sheetPr>
    <tabColor rgb="FF92D050"/>
  </sheetPr>
  <dimension ref="A1:K34"/>
  <sheetViews>
    <sheetView view="pageBreakPreview" zoomScale="60" zoomScaleNormal="80" workbookViewId="0">
      <selection activeCell="F6" sqref="F6"/>
    </sheetView>
  </sheetViews>
  <sheetFormatPr defaultRowHeight="15"/>
  <cols>
    <col min="1" max="1" width="51.5703125" customWidth="1"/>
    <col min="2" max="2" width="10.85546875" bestFit="1" customWidth="1"/>
    <col min="3" max="3" width="23.7109375" customWidth="1"/>
    <col min="4" max="4" width="15.28515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6.5">
      <c r="A3" s="27" t="s">
        <v>485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16.5">
      <c r="A4" s="27"/>
      <c r="B4" s="13"/>
      <c r="C4" s="13"/>
      <c r="D4" s="13"/>
      <c r="E4" s="13"/>
      <c r="F4" s="13"/>
      <c r="G4" s="13"/>
      <c r="H4" s="13"/>
      <c r="I4" s="13"/>
      <c r="J4" s="13"/>
    </row>
    <row r="5" spans="1:11" ht="17.25" thickBot="1">
      <c r="A5" s="13"/>
      <c r="B5" s="13"/>
      <c r="C5" s="13"/>
      <c r="D5" s="13"/>
      <c r="E5" s="13"/>
      <c r="F5" s="13"/>
      <c r="G5" s="28"/>
      <c r="H5" s="13"/>
      <c r="I5" s="13"/>
      <c r="J5" s="13"/>
    </row>
    <row r="6" spans="1:11" ht="21" thickBot="1">
      <c r="A6" s="237" t="str">
        <f>+'S&amp;D'!A12</f>
        <v>Natural Gas Utility Distribution</v>
      </c>
      <c r="B6" s="176"/>
      <c r="C6" s="13"/>
      <c r="D6" s="30"/>
      <c r="E6" s="30"/>
      <c r="F6" s="486" t="s">
        <v>0</v>
      </c>
      <c r="G6" s="13"/>
      <c r="H6" s="13"/>
      <c r="I6" s="13"/>
      <c r="J6" s="13"/>
    </row>
    <row r="7" spans="1:11" ht="26.25">
      <c r="A7" s="31"/>
      <c r="B7" s="13"/>
      <c r="C7" s="13"/>
      <c r="D7" s="13"/>
      <c r="E7" s="32" t="s">
        <v>273</v>
      </c>
      <c r="F7" s="13"/>
      <c r="G7" s="13"/>
      <c r="H7" s="13"/>
      <c r="I7" s="13"/>
      <c r="J7" s="13"/>
    </row>
    <row r="8" spans="1:11" ht="21" thickBot="1">
      <c r="A8" s="31"/>
      <c r="B8" s="13"/>
      <c r="C8" s="13"/>
      <c r="D8" s="30"/>
      <c r="E8" s="37" t="s">
        <v>498</v>
      </c>
      <c r="F8" s="30"/>
      <c r="G8" s="13"/>
      <c r="H8" s="13"/>
      <c r="I8" s="13"/>
      <c r="J8" s="13"/>
    </row>
    <row r="9" spans="1:11" ht="17.25" thickBot="1">
      <c r="A9" s="34" t="s">
        <v>0</v>
      </c>
      <c r="B9" s="34" t="s">
        <v>0</v>
      </c>
      <c r="C9" s="34" t="s">
        <v>0</v>
      </c>
      <c r="D9" s="34" t="s">
        <v>0</v>
      </c>
      <c r="E9" s="34" t="s">
        <v>0</v>
      </c>
      <c r="F9" s="34"/>
      <c r="G9" s="30"/>
      <c r="H9" s="30"/>
      <c r="I9" s="30"/>
      <c r="J9" s="30"/>
      <c r="K9" s="147"/>
    </row>
    <row r="10" spans="1:11" ht="16.5">
      <c r="A10" s="35" t="s">
        <v>0</v>
      </c>
      <c r="B10" s="35" t="s">
        <v>3</v>
      </c>
      <c r="C10" s="35" t="s">
        <v>5</v>
      </c>
      <c r="D10" s="35" t="s">
        <v>175</v>
      </c>
      <c r="E10" s="35" t="s">
        <v>182</v>
      </c>
      <c r="F10" s="35" t="s">
        <v>182</v>
      </c>
      <c r="G10" s="35" t="s">
        <v>182</v>
      </c>
      <c r="H10" s="35" t="s">
        <v>182</v>
      </c>
      <c r="I10" s="35" t="s">
        <v>182</v>
      </c>
      <c r="J10" s="35" t="s">
        <v>182</v>
      </c>
      <c r="K10" s="35" t="s">
        <v>270</v>
      </c>
    </row>
    <row r="11" spans="1:11" ht="16.5">
      <c r="A11" s="35"/>
      <c r="B11" s="35" t="s">
        <v>4</v>
      </c>
      <c r="C11" s="35" t="s">
        <v>6</v>
      </c>
      <c r="D11" s="35" t="s">
        <v>28</v>
      </c>
      <c r="E11" s="35" t="s">
        <v>177</v>
      </c>
      <c r="F11" s="35" t="s">
        <v>135</v>
      </c>
      <c r="G11" s="35" t="s">
        <v>177</v>
      </c>
      <c r="H11" s="35" t="s">
        <v>135</v>
      </c>
      <c r="I11" s="35" t="s">
        <v>177</v>
      </c>
      <c r="J11" s="35" t="s">
        <v>135</v>
      </c>
      <c r="K11" s="35" t="s">
        <v>194</v>
      </c>
    </row>
    <row r="12" spans="1:11" ht="17.25" thickBot="1">
      <c r="A12" s="37" t="s">
        <v>2</v>
      </c>
      <c r="B12" s="37" t="s">
        <v>0</v>
      </c>
      <c r="C12" s="37" t="s">
        <v>0</v>
      </c>
      <c r="D12" s="37" t="s">
        <v>0</v>
      </c>
      <c r="E12" s="37" t="s">
        <v>179</v>
      </c>
      <c r="F12" s="37" t="s">
        <v>179</v>
      </c>
      <c r="G12" s="37" t="s">
        <v>268</v>
      </c>
      <c r="H12" s="37" t="s">
        <v>268</v>
      </c>
      <c r="I12" s="37" t="s">
        <v>269</v>
      </c>
      <c r="J12" s="37" t="s">
        <v>269</v>
      </c>
      <c r="K12" s="202" t="s">
        <v>271</v>
      </c>
    </row>
    <row r="13" spans="1:11">
      <c r="A13" s="39" t="s">
        <v>7</v>
      </c>
      <c r="B13" s="39" t="s">
        <v>7</v>
      </c>
      <c r="C13" s="39" t="s">
        <v>7</v>
      </c>
      <c r="D13" s="40" t="s">
        <v>131</v>
      </c>
      <c r="E13" s="39" t="s">
        <v>7</v>
      </c>
      <c r="F13" s="39" t="s">
        <v>0</v>
      </c>
      <c r="G13" s="39" t="s">
        <v>7</v>
      </c>
      <c r="H13" s="39" t="s">
        <v>0</v>
      </c>
      <c r="I13" s="39" t="s">
        <v>7</v>
      </c>
      <c r="J13" s="39" t="s">
        <v>0</v>
      </c>
      <c r="K13" s="39" t="s">
        <v>0</v>
      </c>
    </row>
    <row r="14" spans="1:11" ht="16.5">
      <c r="A14" s="35"/>
      <c r="B14" s="35"/>
      <c r="C14" s="35"/>
      <c r="D14" s="35"/>
      <c r="E14" s="35"/>
      <c r="F14" s="35"/>
      <c r="G14" s="13"/>
      <c r="H14" s="13"/>
      <c r="I14" s="13"/>
      <c r="J14" s="13"/>
      <c r="K14" s="13"/>
    </row>
    <row r="15" spans="1:11" ht="16.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17.25">
      <c r="A16" s="63" t="str">
        <f>+'S&amp;D'!A22</f>
        <v>Atmos Energy Corp</v>
      </c>
      <c r="B16" s="90" t="str">
        <f>+'S&amp;D'!B22</f>
        <v>ATO</v>
      </c>
      <c r="C16" s="90" t="str">
        <f>+'S&amp;D'!C22</f>
        <v>Gas Utility</v>
      </c>
      <c r="D16" s="60">
        <f>+'S&amp;D'!G22</f>
        <v>167.63</v>
      </c>
      <c r="E16" s="62">
        <v>8.15</v>
      </c>
      <c r="F16" s="66">
        <f>+E16/D16</f>
        <v>4.8618982282407686E-2</v>
      </c>
      <c r="G16" s="62">
        <v>8.75</v>
      </c>
      <c r="H16" s="66">
        <f>+G16/D16</f>
        <v>5.2198293861480644E-2</v>
      </c>
      <c r="I16" s="62">
        <v>10.7</v>
      </c>
      <c r="J16" s="66">
        <f>+I16/D16</f>
        <v>6.383105649346775E-2</v>
      </c>
      <c r="K16" s="324">
        <f t="shared" ref="K16:K26" si="0">RATE(3,,-G16,I16)</f>
        <v>6.9363217016299175E-2</v>
      </c>
    </row>
    <row r="17" spans="1:11" ht="17.25">
      <c r="A17" s="63" t="str">
        <f>+'S&amp;D'!A23</f>
        <v>Black Hills Corporation</v>
      </c>
      <c r="B17" s="90" t="str">
        <f>+'S&amp;D'!B23</f>
        <v>BKH</v>
      </c>
      <c r="C17" s="90" t="str">
        <f>+'S&amp;D'!C23</f>
        <v>Electric Utility - West</v>
      </c>
      <c r="D17" s="60">
        <f>+'S&amp;D'!G23</f>
        <v>69.42</v>
      </c>
      <c r="E17" s="62">
        <v>4.3</v>
      </c>
      <c r="F17" s="66">
        <f t="shared" ref="F17:F26" si="1">+E17/D17</f>
        <v>6.1941803514837218E-2</v>
      </c>
      <c r="G17" s="62">
        <v>4.5</v>
      </c>
      <c r="H17" s="66">
        <v>0.05</v>
      </c>
      <c r="I17" s="62">
        <v>5</v>
      </c>
      <c r="J17" s="66">
        <f t="shared" ref="J17:J26" si="2">+I17/D17</f>
        <v>7.2025352924229333E-2</v>
      </c>
      <c r="K17" s="324">
        <f t="shared" si="0"/>
        <v>3.5744168651286379E-2</v>
      </c>
    </row>
    <row r="18" spans="1:11" ht="17.25">
      <c r="A18" s="63" t="str">
        <f>+'S&amp;D'!A24</f>
        <v>CenterPoint Energy Inc.</v>
      </c>
      <c r="B18" s="90" t="str">
        <f>+'S&amp;D'!B24</f>
        <v>CNP</v>
      </c>
      <c r="C18" s="90" t="str">
        <f>+'S&amp;D'!C24</f>
        <v>Electric Utility - Central</v>
      </c>
      <c r="D18" s="60">
        <f>+'S&amp;D'!G24</f>
        <v>38.340000000000003</v>
      </c>
      <c r="E18" s="62">
        <v>1.9</v>
      </c>
      <c r="F18" s="66">
        <f t="shared" si="1"/>
        <v>4.9556598852373492E-2</v>
      </c>
      <c r="G18" s="62">
        <v>2.1</v>
      </c>
      <c r="H18" s="66">
        <f t="shared" ref="H18:H26" si="3">+G18/D18</f>
        <v>5.4773082942097026E-2</v>
      </c>
      <c r="I18" s="62">
        <v>2.4</v>
      </c>
      <c r="J18" s="66">
        <f t="shared" si="2"/>
        <v>6.2597809076682304E-2</v>
      </c>
      <c r="K18" s="324">
        <f t="shared" si="0"/>
        <v>4.55159171494205E-2</v>
      </c>
    </row>
    <row r="19" spans="1:11" ht="17.25">
      <c r="A19" s="63" t="str">
        <f>+'S&amp;D'!A25</f>
        <v>CMS Energy Corporation</v>
      </c>
      <c r="B19" s="90" t="str">
        <f>+'S&amp;D'!B25</f>
        <v>CMS</v>
      </c>
      <c r="C19" s="90" t="str">
        <f>+'S&amp;D'!C25</f>
        <v>Electric Utility - Central</v>
      </c>
      <c r="D19" s="60">
        <f>+'S&amp;D'!G25</f>
        <v>69.930000000000007</v>
      </c>
      <c r="E19" s="62">
        <v>3.8</v>
      </c>
      <c r="F19" s="66">
        <f t="shared" si="1"/>
        <v>5.4340054340054331E-2</v>
      </c>
      <c r="G19" s="62">
        <v>4.0999999999999996</v>
      </c>
      <c r="H19" s="66">
        <f t="shared" si="3"/>
        <v>5.8630058630058622E-2</v>
      </c>
      <c r="I19" s="62">
        <v>5.15</v>
      </c>
      <c r="J19" s="66">
        <f t="shared" si="2"/>
        <v>7.3645073645073639E-2</v>
      </c>
      <c r="K19" s="324">
        <f t="shared" si="0"/>
        <v>7.8966077542025351E-2</v>
      </c>
    </row>
    <row r="20" spans="1:11" ht="17.25">
      <c r="A20" s="63" t="str">
        <f>+'S&amp;D'!A26</f>
        <v>New Jersey Resources Corp</v>
      </c>
      <c r="B20" s="90" t="str">
        <f>+'S&amp;D'!B26</f>
        <v>NJR</v>
      </c>
      <c r="C20" s="90" t="str">
        <f>+'S&amp;D'!C26</f>
        <v>Gas Utility</v>
      </c>
      <c r="D20" s="60">
        <f>+'S&amp;D'!G26</f>
        <v>46.12</v>
      </c>
      <c r="E20" s="62">
        <v>3.4</v>
      </c>
      <c r="F20" s="66">
        <f t="shared" si="1"/>
        <v>7.3720728534258456E-2</v>
      </c>
      <c r="G20" s="62">
        <v>3.6</v>
      </c>
      <c r="H20" s="66">
        <f t="shared" si="3"/>
        <v>7.8057241977450134E-2</v>
      </c>
      <c r="I20" s="62">
        <v>4</v>
      </c>
      <c r="J20" s="66">
        <f t="shared" si="2"/>
        <v>8.6730268863833476E-2</v>
      </c>
      <c r="K20" s="324">
        <f t="shared" si="0"/>
        <v>3.5744168651286462E-2</v>
      </c>
    </row>
    <row r="21" spans="1:11" ht="17.25">
      <c r="A21" s="63" t="str">
        <f>+'S&amp;D'!A27</f>
        <v>NISOURCE Inc.</v>
      </c>
      <c r="B21" s="90" t="str">
        <f>+'S&amp;D'!B27</f>
        <v>NI</v>
      </c>
      <c r="C21" s="90" t="str">
        <f>+'S&amp;D'!C27</f>
        <v>Gas Utility</v>
      </c>
      <c r="D21" s="60">
        <f>+'S&amp;D'!G27</f>
        <v>41.76</v>
      </c>
      <c r="E21" s="62">
        <v>2.0499999999999998</v>
      </c>
      <c r="F21" s="66">
        <f t="shared" si="1"/>
        <v>4.9090038314176243E-2</v>
      </c>
      <c r="G21" s="62">
        <v>2.2000000000000002</v>
      </c>
      <c r="H21" s="66">
        <f t="shared" si="3"/>
        <v>5.2681992337164758E-2</v>
      </c>
      <c r="I21" s="62">
        <v>2.65</v>
      </c>
      <c r="J21" s="66">
        <f t="shared" si="2"/>
        <v>6.3457854406130262E-2</v>
      </c>
      <c r="K21" s="324">
        <f t="shared" si="0"/>
        <v>6.3998619241153534E-2</v>
      </c>
    </row>
    <row r="22" spans="1:11" ht="17.25">
      <c r="A22" s="63" t="str">
        <f>+'S&amp;D'!A28</f>
        <v xml:space="preserve">Northwest Natural Holding Company </v>
      </c>
      <c r="B22" s="90" t="str">
        <f>+'S&amp;D'!B28</f>
        <v>NWN</v>
      </c>
      <c r="C22" s="90" t="str">
        <f>+'S&amp;D'!C28</f>
        <v>Gas Utility</v>
      </c>
      <c r="D22" s="60">
        <f>+'S&amp;D'!G28</f>
        <v>46.74</v>
      </c>
      <c r="E22" s="62">
        <v>3</v>
      </c>
      <c r="F22" s="66">
        <f t="shared" si="1"/>
        <v>6.4184852374839535E-2</v>
      </c>
      <c r="G22" s="62">
        <v>3.15</v>
      </c>
      <c r="H22" s="66">
        <f t="shared" si="3"/>
        <v>6.739409499358151E-2</v>
      </c>
      <c r="I22" s="62">
        <v>3.6</v>
      </c>
      <c r="J22" s="66">
        <f t="shared" si="2"/>
        <v>7.702182284980745E-2</v>
      </c>
      <c r="K22" s="324">
        <f t="shared" si="0"/>
        <v>4.5515917149420493E-2</v>
      </c>
    </row>
    <row r="23" spans="1:11" ht="17.25">
      <c r="A23" s="63" t="str">
        <f>+'S&amp;D'!A29</f>
        <v>One Gas INC</v>
      </c>
      <c r="B23" s="90" t="str">
        <f>+'S&amp;D'!B29</f>
        <v>OGS</v>
      </c>
      <c r="C23" s="90" t="str">
        <f>+'S&amp;D'!C29</f>
        <v>Gas Utility</v>
      </c>
      <c r="D23" s="60">
        <f>+'S&amp;D'!G29</f>
        <v>77.25</v>
      </c>
      <c r="E23" s="62">
        <v>4.6500000000000004</v>
      </c>
      <c r="F23" s="66">
        <f t="shared" si="1"/>
        <v>6.019417475728156E-2</v>
      </c>
      <c r="G23" s="62">
        <v>4.95</v>
      </c>
      <c r="H23" s="66">
        <f t="shared" si="3"/>
        <v>6.4077669902912623E-2</v>
      </c>
      <c r="I23" s="62">
        <v>6</v>
      </c>
      <c r="J23" s="66">
        <f t="shared" si="2"/>
        <v>7.7669902912621352E-2</v>
      </c>
      <c r="K23" s="324">
        <f t="shared" si="0"/>
        <v>6.6224564262488822E-2</v>
      </c>
    </row>
    <row r="24" spans="1:11" ht="17.25">
      <c r="A24" s="63" t="str">
        <f>+'S&amp;D'!A30</f>
        <v>Southwest Gas Holdings, Inc</v>
      </c>
      <c r="B24" s="90" t="str">
        <f>+'S&amp;D'!B30</f>
        <v>SWX</v>
      </c>
      <c r="C24" s="90" t="str">
        <f>+'S&amp;D'!C30</f>
        <v>Gas Utility</v>
      </c>
      <c r="D24" s="60">
        <f>+'S&amp;D'!G30</f>
        <v>80.02</v>
      </c>
      <c r="E24" s="62">
        <v>4.0999999999999996</v>
      </c>
      <c r="F24" s="66">
        <f t="shared" si="1"/>
        <v>5.1237190702324416E-2</v>
      </c>
      <c r="G24" s="62">
        <v>4.45</v>
      </c>
      <c r="H24" s="66">
        <f t="shared" si="3"/>
        <v>5.561109722569358E-2</v>
      </c>
      <c r="I24" s="62">
        <v>5.65</v>
      </c>
      <c r="J24" s="66">
        <f t="shared" si="2"/>
        <v>7.0607348162959271E-2</v>
      </c>
      <c r="K24" s="324">
        <f t="shared" si="0"/>
        <v>8.2836315088376689E-2</v>
      </c>
    </row>
    <row r="25" spans="1:11" ht="17.25">
      <c r="A25" s="63" t="str">
        <f>+'S&amp;D'!A31</f>
        <v>Spire Inc / Laclede Group Inc</v>
      </c>
      <c r="B25" s="90" t="str">
        <f>+'S&amp;D'!B31</f>
        <v>SR</v>
      </c>
      <c r="C25" s="90" t="str">
        <f>+'S&amp;D'!C31</f>
        <v>Gas Utility</v>
      </c>
      <c r="D25" s="60">
        <f>+'S&amp;D'!G31</f>
        <v>82.7</v>
      </c>
      <c r="E25" s="62">
        <v>5.35</v>
      </c>
      <c r="F25" s="66">
        <f t="shared" si="1"/>
        <v>6.4691656590084634E-2</v>
      </c>
      <c r="G25" s="62">
        <v>5.75</v>
      </c>
      <c r="H25" s="66">
        <f t="shared" si="3"/>
        <v>6.952841596130592E-2</v>
      </c>
      <c r="I25" s="62">
        <v>6.75</v>
      </c>
      <c r="J25" s="66">
        <f t="shared" si="2"/>
        <v>8.1620314389359128E-2</v>
      </c>
      <c r="K25" s="324">
        <f t="shared" si="0"/>
        <v>5.4901660750878024E-2</v>
      </c>
    </row>
    <row r="26" spans="1:11" ht="17.25">
      <c r="A26" s="63" t="str">
        <f>+'S&amp;D'!A32</f>
        <v>WEC Energy Group</v>
      </c>
      <c r="B26" s="90" t="str">
        <f>+'S&amp;D'!B32</f>
        <v>WEC</v>
      </c>
      <c r="C26" s="90" t="str">
        <f>+'S&amp;D'!C32</f>
        <v>Electric Utility - Central</v>
      </c>
      <c r="D26" s="60">
        <f>+'S&amp;D'!G32</f>
        <v>105.46</v>
      </c>
      <c r="E26" s="62">
        <v>5.6</v>
      </c>
      <c r="F26" s="66">
        <f t="shared" si="1"/>
        <v>5.3100701687843734E-2</v>
      </c>
      <c r="G26" s="62">
        <v>6</v>
      </c>
      <c r="H26" s="66">
        <f t="shared" si="3"/>
        <v>5.6893608951261145E-2</v>
      </c>
      <c r="I26" s="62">
        <v>7.25</v>
      </c>
      <c r="J26" s="66">
        <f t="shared" si="2"/>
        <v>6.8746444149440547E-2</v>
      </c>
      <c r="K26" s="324">
        <f t="shared" si="0"/>
        <v>6.5112754734579351E-2</v>
      </c>
    </row>
    <row r="27" spans="1:11" ht="17.25" thickBot="1">
      <c r="A27" s="13"/>
      <c r="B27" s="13"/>
      <c r="C27" s="44"/>
      <c r="D27" s="47"/>
      <c r="E27" s="47"/>
      <c r="F27" s="47"/>
      <c r="G27" s="47"/>
      <c r="H27" s="47"/>
      <c r="I27" s="47"/>
      <c r="J27" s="47"/>
      <c r="K27" s="47"/>
    </row>
    <row r="28" spans="1:11" ht="17.25" thickTop="1">
      <c r="A28" s="13"/>
      <c r="B28" s="13"/>
      <c r="D28" s="15" t="s">
        <v>56</v>
      </c>
      <c r="E28" s="17">
        <f>MAX(E16:E26)</f>
        <v>8.15</v>
      </c>
      <c r="F28" s="266">
        <f t="shared" ref="F28:K28" si="4">MAX(F16:F26)</f>
        <v>7.3720728534258456E-2</v>
      </c>
      <c r="G28" s="17">
        <f t="shared" si="4"/>
        <v>8.75</v>
      </c>
      <c r="H28" s="266">
        <f t="shared" si="4"/>
        <v>7.8057241977450134E-2</v>
      </c>
      <c r="I28" s="17">
        <f t="shared" si="4"/>
        <v>10.7</v>
      </c>
      <c r="J28" s="266">
        <f t="shared" si="4"/>
        <v>8.6730268863833476E-2</v>
      </c>
      <c r="K28" s="266">
        <f t="shared" si="4"/>
        <v>8.2836315088376689E-2</v>
      </c>
    </row>
    <row r="29" spans="1:11" ht="16.5">
      <c r="A29" s="13"/>
      <c r="B29" s="13"/>
      <c r="D29" s="15" t="s">
        <v>57</v>
      </c>
      <c r="E29" s="270">
        <f>MIN(E16:E26)</f>
        <v>1.9</v>
      </c>
      <c r="F29" s="267">
        <f t="shared" ref="F29:K29" si="5">MIN(F16:F26)</f>
        <v>4.8618982282407686E-2</v>
      </c>
      <c r="G29" s="270">
        <f t="shared" si="5"/>
        <v>2.1</v>
      </c>
      <c r="H29" s="267">
        <f t="shared" si="5"/>
        <v>0.05</v>
      </c>
      <c r="I29" s="270">
        <f t="shared" si="5"/>
        <v>2.4</v>
      </c>
      <c r="J29" s="267">
        <f t="shared" si="5"/>
        <v>6.2597809076682304E-2</v>
      </c>
      <c r="K29" s="267">
        <f t="shared" si="5"/>
        <v>3.5744168651286379E-2</v>
      </c>
    </row>
    <row r="30" spans="1:11" ht="16.5">
      <c r="A30" s="13"/>
      <c r="B30" s="13"/>
      <c r="D30" s="15" t="s">
        <v>18</v>
      </c>
      <c r="E30" s="18">
        <f t="shared" ref="E30:K30" si="6">MEDIAN(E16:E26)</f>
        <v>4.0999999999999996</v>
      </c>
      <c r="F30" s="55">
        <f t="shared" si="6"/>
        <v>5.4340054340054331E-2</v>
      </c>
      <c r="G30" s="18">
        <f t="shared" si="6"/>
        <v>4.45</v>
      </c>
      <c r="H30" s="55">
        <f t="shared" si="6"/>
        <v>5.6893608951261145E-2</v>
      </c>
      <c r="I30" s="18">
        <f t="shared" si="6"/>
        <v>5.15</v>
      </c>
      <c r="J30" s="55">
        <f t="shared" si="6"/>
        <v>7.2025352924229333E-2</v>
      </c>
      <c r="K30" s="55">
        <f t="shared" si="6"/>
        <v>6.3998619241153534E-2</v>
      </c>
    </row>
    <row r="31" spans="1:11" ht="16.5">
      <c r="A31" s="13"/>
      <c r="B31" s="13"/>
      <c r="D31" s="15" t="s">
        <v>413</v>
      </c>
      <c r="E31" s="22">
        <f t="shared" ref="E31:K31" si="7">AVERAGE(E16:E26)</f>
        <v>4.2090909090909099</v>
      </c>
      <c r="F31" s="57">
        <f t="shared" si="7"/>
        <v>5.7334252904589204E-2</v>
      </c>
      <c r="G31" s="22">
        <f t="shared" si="7"/>
        <v>4.5045454545454549</v>
      </c>
      <c r="H31" s="57">
        <f t="shared" si="7"/>
        <v>5.9985959707545992E-2</v>
      </c>
      <c r="I31" s="22">
        <f t="shared" si="7"/>
        <v>5.377272727272727</v>
      </c>
      <c r="J31" s="57">
        <f t="shared" si="7"/>
        <v>7.2541204352145866E-2</v>
      </c>
      <c r="K31" s="57">
        <f t="shared" si="7"/>
        <v>5.8538489112474064E-2</v>
      </c>
    </row>
    <row r="32" spans="1:11" ht="16.5">
      <c r="A32" s="13"/>
      <c r="B32" s="13"/>
      <c r="D32" s="13"/>
      <c r="E32" s="13"/>
      <c r="F32" s="13"/>
      <c r="G32" s="13"/>
      <c r="H32" s="13"/>
      <c r="I32" s="13"/>
      <c r="J32" s="13"/>
      <c r="K32" s="13"/>
    </row>
    <row r="33" spans="1:11" ht="26.25">
      <c r="A33" s="13"/>
      <c r="B33" s="13"/>
      <c r="C33" s="13"/>
      <c r="D33" s="13"/>
      <c r="E33" s="13"/>
      <c r="F33" s="49" t="s">
        <v>0</v>
      </c>
      <c r="G33" s="64" t="s">
        <v>0</v>
      </c>
      <c r="H33" s="13"/>
      <c r="I33" s="13"/>
      <c r="J33" s="13"/>
      <c r="K33" s="13"/>
    </row>
    <row r="34" spans="1:11" ht="18.75">
      <c r="A34" s="203" t="s">
        <v>272</v>
      </c>
    </row>
  </sheetData>
  <pageMargins left="0.25" right="0.25" top="0.75" bottom="0.75" header="0.3" footer="0.3"/>
  <pageSetup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63"/>
  <sheetViews>
    <sheetView view="pageBreakPreview" zoomScale="80" zoomScaleNormal="80" zoomScaleSheetLayoutView="80" workbookViewId="0">
      <selection activeCell="F6" sqref="F6"/>
    </sheetView>
  </sheetViews>
  <sheetFormatPr defaultRowHeight="15"/>
  <cols>
    <col min="1" max="1" width="43.140625" customWidth="1"/>
    <col min="2" max="2" width="10.85546875" bestFit="1" customWidth="1"/>
    <col min="3" max="3" width="28.85546875" customWidth="1"/>
    <col min="4" max="4" width="18.5703125" customWidth="1"/>
    <col min="5" max="5" width="21.85546875" customWidth="1"/>
    <col min="6" max="6" width="18" customWidth="1"/>
    <col min="7" max="7" width="12.28515625" customWidth="1"/>
    <col min="8" max="8" width="20.5703125" customWidth="1"/>
    <col min="9" max="9" width="12.42578125" customWidth="1"/>
    <col min="10" max="11" width="20.5703125" customWidth="1"/>
    <col min="12" max="12" width="26.5703125" customWidth="1"/>
    <col min="13" max="13" width="12" customWidth="1"/>
  </cols>
  <sheetData>
    <row r="1" spans="1:13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6.5">
      <c r="A3" s="27" t="s">
        <v>485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6.5">
      <c r="A4" s="27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7.25" thickBot="1">
      <c r="A5" s="13"/>
      <c r="B5" s="13"/>
      <c r="C5" s="13"/>
      <c r="D5" s="13"/>
      <c r="E5" s="13"/>
      <c r="F5" s="13"/>
      <c r="G5" s="28"/>
      <c r="H5" s="28"/>
      <c r="I5" s="13"/>
      <c r="J5" s="13"/>
      <c r="K5" s="13"/>
      <c r="L5" s="13"/>
      <c r="M5" s="13"/>
    </row>
    <row r="6" spans="1:13" ht="21" thickBot="1">
      <c r="A6" s="237" t="str">
        <f>+'S&amp;D'!A12</f>
        <v>Natural Gas Utility Distribution</v>
      </c>
      <c r="B6" s="176"/>
      <c r="C6" s="13"/>
      <c r="D6" s="30"/>
      <c r="E6" s="30"/>
      <c r="F6" s="486" t="s">
        <v>0</v>
      </c>
      <c r="G6" s="13"/>
      <c r="H6" s="13"/>
      <c r="I6" s="13"/>
      <c r="J6" s="13"/>
      <c r="K6" s="13"/>
      <c r="L6" s="13"/>
      <c r="M6" s="13"/>
    </row>
    <row r="7" spans="1:13" ht="26.25">
      <c r="A7" s="31"/>
      <c r="B7" s="13"/>
      <c r="C7" s="13"/>
      <c r="D7" s="13"/>
      <c r="E7" s="32" t="s">
        <v>482</v>
      </c>
      <c r="F7" s="13"/>
      <c r="G7" s="13"/>
      <c r="H7" s="13"/>
      <c r="I7" s="13"/>
      <c r="J7" s="13"/>
      <c r="K7" s="13"/>
      <c r="L7" s="13"/>
      <c r="M7" s="13"/>
    </row>
    <row r="8" spans="1:13" ht="21" thickBot="1">
      <c r="A8" s="31"/>
      <c r="B8" s="13"/>
      <c r="C8" s="13"/>
      <c r="D8" s="30"/>
      <c r="E8" s="37" t="s">
        <v>498</v>
      </c>
      <c r="F8" s="30"/>
      <c r="G8" s="13"/>
      <c r="H8" s="13"/>
      <c r="I8" s="13"/>
      <c r="J8" s="13"/>
      <c r="K8" s="13"/>
      <c r="L8" s="13"/>
      <c r="M8" s="13"/>
    </row>
    <row r="9" spans="1:13" ht="17.25" thickBot="1">
      <c r="A9" s="34" t="s">
        <v>0</v>
      </c>
      <c r="B9" s="34" t="s">
        <v>0</v>
      </c>
      <c r="C9" s="34" t="s">
        <v>0</v>
      </c>
      <c r="D9" s="34" t="s">
        <v>0</v>
      </c>
      <c r="E9" s="34" t="s">
        <v>0</v>
      </c>
      <c r="F9" s="34" t="s">
        <v>0</v>
      </c>
      <c r="G9" s="34"/>
      <c r="H9" s="34"/>
      <c r="I9" s="34" t="s">
        <v>0</v>
      </c>
      <c r="J9" s="30"/>
      <c r="K9" s="13"/>
      <c r="L9" s="13"/>
      <c r="M9" s="13"/>
    </row>
    <row r="10" spans="1:13" ht="16.5">
      <c r="A10" s="35" t="s">
        <v>0</v>
      </c>
      <c r="B10" s="35" t="s">
        <v>3</v>
      </c>
      <c r="C10" s="35" t="s">
        <v>5</v>
      </c>
      <c r="D10" s="35" t="s">
        <v>21</v>
      </c>
      <c r="E10" s="35" t="s">
        <v>20</v>
      </c>
      <c r="F10" s="35" t="s">
        <v>65</v>
      </c>
      <c r="G10" s="35" t="s">
        <v>143</v>
      </c>
      <c r="H10" s="35" t="s">
        <v>480</v>
      </c>
      <c r="I10" s="35" t="s">
        <v>143</v>
      </c>
      <c r="J10" s="35" t="s">
        <v>60</v>
      </c>
      <c r="K10" s="13"/>
      <c r="L10" s="13"/>
      <c r="M10" s="13"/>
    </row>
    <row r="11" spans="1:13" ht="17.25" thickBot="1">
      <c r="A11" s="37" t="s">
        <v>2</v>
      </c>
      <c r="B11" s="37" t="s">
        <v>4</v>
      </c>
      <c r="C11" s="37" t="s">
        <v>6</v>
      </c>
      <c r="D11" s="37" t="s">
        <v>23</v>
      </c>
      <c r="E11" s="37" t="s">
        <v>22</v>
      </c>
      <c r="F11" s="37" t="s">
        <v>61</v>
      </c>
      <c r="G11" s="37" t="s">
        <v>61</v>
      </c>
      <c r="H11" s="37" t="s">
        <v>61</v>
      </c>
      <c r="I11" s="37" t="s">
        <v>61</v>
      </c>
      <c r="J11" s="37" t="s">
        <v>63</v>
      </c>
      <c r="K11" s="13"/>
      <c r="L11" s="13"/>
      <c r="M11" s="13"/>
    </row>
    <row r="12" spans="1:13" ht="16.5">
      <c r="A12" s="39" t="s">
        <v>7</v>
      </c>
      <c r="B12" s="39" t="s">
        <v>7</v>
      </c>
      <c r="C12" s="39" t="s">
        <v>7</v>
      </c>
      <c r="D12" s="39" t="s">
        <v>7</v>
      </c>
      <c r="E12" s="39" t="s">
        <v>7</v>
      </c>
      <c r="F12" s="39" t="s">
        <v>64</v>
      </c>
      <c r="G12" s="39"/>
      <c r="H12" s="39" t="s">
        <v>481</v>
      </c>
      <c r="I12" s="39"/>
      <c r="J12" s="39" t="s">
        <v>60</v>
      </c>
      <c r="K12" s="13"/>
      <c r="L12" s="13"/>
      <c r="M12" s="13"/>
    </row>
    <row r="13" spans="1:13" ht="16.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13"/>
      <c r="L13" s="13"/>
      <c r="M13" s="13"/>
    </row>
    <row r="14" spans="1:13" ht="16.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ht="17.25">
      <c r="A15" s="63" t="str">
        <f>+'S&amp;D'!A22</f>
        <v>Atmos Energy Corp</v>
      </c>
      <c r="B15" s="90" t="str">
        <f>+'S&amp;D'!B22</f>
        <v>ATO</v>
      </c>
      <c r="C15" s="90" t="str">
        <f>+'S&amp;D'!C22</f>
        <v>Gas Utility</v>
      </c>
      <c r="D15" s="54">
        <f>+'Beta for CAPM'!D18</f>
        <v>0.2</v>
      </c>
      <c r="E15" s="35" t="str">
        <f>+'Beta for CAPM'!G18</f>
        <v>A</v>
      </c>
      <c r="F15" s="90" t="s">
        <v>77</v>
      </c>
      <c r="G15" s="264">
        <v>9</v>
      </c>
      <c r="H15" s="62" t="s">
        <v>152</v>
      </c>
      <c r="I15" s="465">
        <v>8</v>
      </c>
      <c r="J15" s="341">
        <f>VLOOKUP(I15,$B$39:$E$62,4,0)</f>
        <v>5.6800000000000003E-2</v>
      </c>
      <c r="K15" s="13" t="s">
        <v>0</v>
      </c>
      <c r="L15" s="13"/>
      <c r="M15" s="13"/>
    </row>
    <row r="16" spans="1:13" ht="17.25">
      <c r="A16" s="63" t="str">
        <f>+'S&amp;D'!A23</f>
        <v>Black Hills Corporation</v>
      </c>
      <c r="B16" s="90" t="str">
        <f>+'S&amp;D'!B23</f>
        <v>BKH</v>
      </c>
      <c r="C16" s="90" t="str">
        <f>+'S&amp;D'!C23</f>
        <v>Electric Utility - West</v>
      </c>
      <c r="D16" s="54">
        <f>+'Beta for CAPM'!D19</f>
        <v>0.13500000000000001</v>
      </c>
      <c r="E16" s="35" t="str">
        <f>+'Beta for CAPM'!G19</f>
        <v>B++</v>
      </c>
      <c r="F16" s="90" t="s">
        <v>69</v>
      </c>
      <c r="G16" s="264">
        <v>10</v>
      </c>
      <c r="H16" s="62" t="s">
        <v>68</v>
      </c>
      <c r="I16" s="465">
        <v>11</v>
      </c>
      <c r="J16" s="341">
        <f t="shared" ref="J16:J25" si="0">VLOOKUP(I16,$B$39:$E$62,4,0)</f>
        <v>5.8799999999999998E-2</v>
      </c>
      <c r="K16" s="13" t="s">
        <v>0</v>
      </c>
      <c r="L16" s="13"/>
      <c r="M16" s="13"/>
    </row>
    <row r="17" spans="1:13" ht="17.25">
      <c r="A17" s="63" t="str">
        <f>+'S&amp;D'!A24</f>
        <v>CenterPoint Energy Inc.</v>
      </c>
      <c r="B17" s="90" t="str">
        <f>+'S&amp;D'!B24</f>
        <v>CNP</v>
      </c>
      <c r="C17" s="90" t="str">
        <f>+'S&amp;D'!C24</f>
        <v>Electric Utility - Central</v>
      </c>
      <c r="D17" s="54">
        <f>+'Beta for CAPM'!D20</f>
        <v>0.16</v>
      </c>
      <c r="E17" s="35" t="str">
        <f>+'Beta for CAPM'!G20</f>
        <v>B++</v>
      </c>
      <c r="F17" s="90" t="s">
        <v>69</v>
      </c>
      <c r="G17" s="264">
        <v>10</v>
      </c>
      <c r="H17" s="62" t="s">
        <v>68</v>
      </c>
      <c r="I17" s="465">
        <v>11</v>
      </c>
      <c r="J17" s="341">
        <f t="shared" si="0"/>
        <v>5.8799999999999998E-2</v>
      </c>
      <c r="K17" s="13" t="s">
        <v>0</v>
      </c>
      <c r="L17" s="13"/>
      <c r="M17" s="13"/>
    </row>
    <row r="18" spans="1:13" ht="17.25">
      <c r="A18" s="63" t="str">
        <f>+'S&amp;D'!A25</f>
        <v>CMS Energy Corporation</v>
      </c>
      <c r="B18" s="90" t="str">
        <f>+'S&amp;D'!B25</f>
        <v>CMS</v>
      </c>
      <c r="C18" s="90" t="str">
        <f>+'S&amp;D'!C25</f>
        <v>Electric Utility - Central</v>
      </c>
      <c r="D18" s="54">
        <f>+'Beta for CAPM'!D21</f>
        <v>0.2</v>
      </c>
      <c r="E18" s="35" t="str">
        <f>+'Beta for CAPM'!G21</f>
        <v>B++</v>
      </c>
      <c r="F18" s="90" t="s">
        <v>69</v>
      </c>
      <c r="G18" s="264">
        <v>10</v>
      </c>
      <c r="H18" s="62" t="s">
        <v>68</v>
      </c>
      <c r="I18" s="465">
        <v>11</v>
      </c>
      <c r="J18" s="341">
        <f t="shared" si="0"/>
        <v>5.8799999999999998E-2</v>
      </c>
      <c r="K18" s="13" t="s">
        <v>0</v>
      </c>
      <c r="L18" s="13"/>
      <c r="M18" s="13"/>
    </row>
    <row r="19" spans="1:13" ht="17.25">
      <c r="A19" s="63" t="str">
        <f>+'S&amp;D'!A26</f>
        <v>New Jersey Resources Corp</v>
      </c>
      <c r="B19" s="90" t="str">
        <f>+'S&amp;D'!B26</f>
        <v>NJR</v>
      </c>
      <c r="C19" s="90" t="str">
        <f>+'S&amp;D'!C26</f>
        <v>Gas Utility</v>
      </c>
      <c r="D19" s="54">
        <f>+'Beta for CAPM'!D22</f>
        <v>0.22</v>
      </c>
      <c r="E19" s="35" t="str">
        <f>+'Beta for CAPM'!G22</f>
        <v>A</v>
      </c>
      <c r="F19" s="90" t="s">
        <v>514</v>
      </c>
      <c r="G19" s="264"/>
      <c r="H19" s="62" t="s">
        <v>514</v>
      </c>
      <c r="I19" s="465"/>
      <c r="J19" s="341" t="s">
        <v>483</v>
      </c>
      <c r="K19" s="13" t="s">
        <v>0</v>
      </c>
      <c r="L19" s="13"/>
      <c r="M19" s="13"/>
    </row>
    <row r="20" spans="1:13" ht="17.25">
      <c r="A20" s="63" t="str">
        <f>+'S&amp;D'!A27</f>
        <v>NISOURCE Inc.</v>
      </c>
      <c r="B20" s="90" t="str">
        <f>+'S&amp;D'!B27</f>
        <v>NI</v>
      </c>
      <c r="C20" s="90" t="str">
        <f>+'S&amp;D'!C27</f>
        <v>Gas Utility</v>
      </c>
      <c r="D20" s="54">
        <f>+'Beta for CAPM'!D23</f>
        <v>0.19</v>
      </c>
      <c r="E20" s="35" t="str">
        <f>+'Beta for CAPM'!G23</f>
        <v>B++</v>
      </c>
      <c r="F20" s="90" t="s">
        <v>69</v>
      </c>
      <c r="G20" s="264">
        <v>10</v>
      </c>
      <c r="H20" s="62" t="s">
        <v>68</v>
      </c>
      <c r="I20" s="465">
        <v>11</v>
      </c>
      <c r="J20" s="341">
        <f t="shared" si="0"/>
        <v>5.8799999999999998E-2</v>
      </c>
      <c r="K20" s="13" t="s">
        <v>0</v>
      </c>
      <c r="L20" s="13"/>
      <c r="M20" s="13"/>
    </row>
    <row r="21" spans="1:13" ht="17.25">
      <c r="A21" s="63" t="str">
        <f>+'S&amp;D'!A28</f>
        <v xml:space="preserve">Northwest Natural Holding Company </v>
      </c>
      <c r="B21" s="90" t="str">
        <f>+'S&amp;D'!B28</f>
        <v>NWN</v>
      </c>
      <c r="C21" s="90" t="str">
        <f>+'S&amp;D'!C28</f>
        <v>Gas Utility</v>
      </c>
      <c r="D21" s="54">
        <f>+'Beta for CAPM'!D24</f>
        <v>0.25</v>
      </c>
      <c r="E21" s="35" t="str">
        <f>+'Beta for CAPM'!G24</f>
        <v>A</v>
      </c>
      <c r="F21" s="90" t="s">
        <v>54</v>
      </c>
      <c r="G21" s="264">
        <v>7</v>
      </c>
      <c r="H21" s="62" t="s">
        <v>67</v>
      </c>
      <c r="I21" s="465">
        <v>10</v>
      </c>
      <c r="J21" s="341">
        <f t="shared" si="0"/>
        <v>5.8799999999999998E-2</v>
      </c>
      <c r="K21" s="14" t="s">
        <v>0</v>
      </c>
      <c r="L21" s="13"/>
      <c r="M21" s="13"/>
    </row>
    <row r="22" spans="1:13" ht="17.25">
      <c r="A22" s="63" t="str">
        <f>+'S&amp;D'!A29</f>
        <v>One Gas INC</v>
      </c>
      <c r="B22" s="90" t="str">
        <f>+'S&amp;D'!B29</f>
        <v>OGS</v>
      </c>
      <c r="C22" s="90" t="str">
        <f>+'S&amp;D'!C29</f>
        <v>Gas Utility</v>
      </c>
      <c r="D22" s="54">
        <f>+'Beta for CAPM'!D25</f>
        <v>0.18</v>
      </c>
      <c r="E22" s="35" t="str">
        <f>+'Beta for CAPM'!G25</f>
        <v>A</v>
      </c>
      <c r="F22" s="90" t="s">
        <v>77</v>
      </c>
      <c r="G22" s="264">
        <v>9</v>
      </c>
      <c r="H22" s="62" t="s">
        <v>75</v>
      </c>
      <c r="I22" s="465">
        <v>9</v>
      </c>
      <c r="J22" s="341">
        <f t="shared" si="0"/>
        <v>5.6800000000000003E-2</v>
      </c>
      <c r="K22" s="13" t="s">
        <v>0</v>
      </c>
      <c r="L22" s="13"/>
      <c r="M22" s="13"/>
    </row>
    <row r="23" spans="1:13" ht="17.25">
      <c r="A23" s="63" t="str">
        <f>+'S&amp;D'!A30</f>
        <v>Southwest Gas Holdings, Inc</v>
      </c>
      <c r="B23" s="90" t="str">
        <f>+'S&amp;D'!B30</f>
        <v>SWX</v>
      </c>
      <c r="C23" s="90" t="str">
        <f>+'S&amp;D'!C30</f>
        <v>Gas Utility</v>
      </c>
      <c r="D23" s="54">
        <f>+'Beta for CAPM'!D26</f>
        <v>0.2</v>
      </c>
      <c r="E23" s="35" t="s">
        <v>26</v>
      </c>
      <c r="F23" s="90" t="s">
        <v>69</v>
      </c>
      <c r="G23" s="264">
        <v>10</v>
      </c>
      <c r="H23" s="62" t="s">
        <v>68</v>
      </c>
      <c r="I23" s="465">
        <v>11</v>
      </c>
      <c r="J23" s="341">
        <f t="shared" si="0"/>
        <v>5.8799999999999998E-2</v>
      </c>
      <c r="K23" s="13"/>
      <c r="L23" s="13"/>
      <c r="M23" s="13"/>
    </row>
    <row r="24" spans="1:13" ht="17.25">
      <c r="A24" s="63" t="str">
        <f>+'S&amp;D'!A31</f>
        <v>Spire Inc / Laclede Group Inc</v>
      </c>
      <c r="B24" s="90" t="str">
        <f>+'S&amp;D'!B31</f>
        <v>SR</v>
      </c>
      <c r="C24" s="90" t="str">
        <f>+'S&amp;D'!C31</f>
        <v>Gas Utility</v>
      </c>
      <c r="D24" s="54">
        <f>+'Beta for CAPM'!D27</f>
        <v>0.19500000000000001</v>
      </c>
      <c r="E24" s="35" t="str">
        <f>+'Beta for CAPM'!G27</f>
        <v>B++</v>
      </c>
      <c r="F24" s="90" t="s">
        <v>69</v>
      </c>
      <c r="G24" s="264">
        <v>10</v>
      </c>
      <c r="H24" s="62" t="s">
        <v>68</v>
      </c>
      <c r="I24" s="465">
        <v>11</v>
      </c>
      <c r="J24" s="341">
        <f t="shared" si="0"/>
        <v>5.8799999999999998E-2</v>
      </c>
      <c r="K24" s="13" t="s">
        <v>0</v>
      </c>
      <c r="L24" s="13"/>
      <c r="M24" s="13"/>
    </row>
    <row r="25" spans="1:13" ht="17.25">
      <c r="A25" s="63" t="str">
        <f>+'S&amp;D'!A32</f>
        <v>WEC Energy Group</v>
      </c>
      <c r="B25" s="90" t="str">
        <f>+'S&amp;D'!B32</f>
        <v>WEC</v>
      </c>
      <c r="C25" s="90" t="str">
        <f>+'S&amp;D'!C32</f>
        <v>Electric Utility - Central</v>
      </c>
      <c r="D25" s="54">
        <f>+'Beta for CAPM'!D28</f>
        <v>0.19</v>
      </c>
      <c r="E25" s="35" t="str">
        <f>+'Beta for CAPM'!G28</f>
        <v>A</v>
      </c>
      <c r="F25" s="90" t="s">
        <v>77</v>
      </c>
      <c r="G25" s="264">
        <v>9</v>
      </c>
      <c r="H25" s="62" t="s">
        <v>67</v>
      </c>
      <c r="I25" s="465">
        <v>10</v>
      </c>
      <c r="J25" s="341">
        <f t="shared" si="0"/>
        <v>5.8799999999999998E-2</v>
      </c>
      <c r="K25" s="13" t="s">
        <v>0</v>
      </c>
      <c r="L25" s="13"/>
      <c r="M25" s="13"/>
    </row>
    <row r="26" spans="1:13" ht="17.25" thickBot="1">
      <c r="A26" s="13"/>
      <c r="B26" s="13"/>
      <c r="C26" s="44"/>
      <c r="D26" s="47"/>
      <c r="E26" s="47"/>
      <c r="F26" s="47"/>
      <c r="G26" s="259"/>
      <c r="H26" s="47" t="s">
        <v>55</v>
      </c>
      <c r="I26" s="47"/>
      <c r="J26" s="47"/>
      <c r="K26" s="13"/>
      <c r="L26" s="13"/>
      <c r="M26" s="13"/>
    </row>
    <row r="27" spans="1:13" ht="17.25" thickTop="1">
      <c r="A27" s="13"/>
      <c r="B27" s="13"/>
      <c r="E27" s="15" t="s">
        <v>56</v>
      </c>
      <c r="F27" s="35"/>
      <c r="G27" s="258">
        <f t="shared" ref="G27:J27" si="1">MAX(G15:G25)</f>
        <v>10</v>
      </c>
      <c r="I27" s="258">
        <f t="shared" si="1"/>
        <v>11</v>
      </c>
      <c r="J27" s="53">
        <f t="shared" si="1"/>
        <v>5.8799999999999998E-2</v>
      </c>
      <c r="K27" s="13"/>
      <c r="L27" s="13"/>
      <c r="M27" s="13"/>
    </row>
    <row r="28" spans="1:13" ht="16.5">
      <c r="A28" s="13"/>
      <c r="B28" s="13"/>
      <c r="E28" s="261" t="s">
        <v>57</v>
      </c>
      <c r="F28" s="126"/>
      <c r="G28" s="262">
        <f t="shared" ref="G28:J28" si="2">MIN(G15:G25)</f>
        <v>7</v>
      </c>
      <c r="H28" s="219"/>
      <c r="I28" s="262">
        <f t="shared" si="2"/>
        <v>8</v>
      </c>
      <c r="J28" s="263">
        <f t="shared" si="2"/>
        <v>5.6800000000000003E-2</v>
      </c>
      <c r="K28" s="13"/>
      <c r="L28" s="13"/>
      <c r="M28" s="13"/>
    </row>
    <row r="29" spans="1:13" ht="16.5">
      <c r="A29" s="13"/>
      <c r="B29" s="13"/>
      <c r="E29" s="15" t="s">
        <v>18</v>
      </c>
      <c r="F29" s="56" t="s">
        <v>0</v>
      </c>
      <c r="G29" s="196">
        <f>MEDIAN(G15:G25)</f>
        <v>10</v>
      </c>
      <c r="I29" s="196">
        <f>MEDIAN(I15:I25)</f>
        <v>11</v>
      </c>
      <c r="J29" s="56">
        <f>MEDIAN(J15:J25)</f>
        <v>5.8799999999999998E-2</v>
      </c>
      <c r="K29" s="13"/>
      <c r="L29" s="13"/>
      <c r="M29" s="13"/>
    </row>
    <row r="30" spans="1:13" ht="16.5">
      <c r="A30" s="13"/>
      <c r="B30" s="13"/>
      <c r="D30" s="15" t="s">
        <v>0</v>
      </c>
      <c r="E30" s="15" t="s">
        <v>413</v>
      </c>
      <c r="F30" s="15"/>
      <c r="G30" s="197">
        <f>AVERAGE(G15:G25)</f>
        <v>9.4</v>
      </c>
      <c r="I30" s="197">
        <f>AVERAGE(I15:I25)</f>
        <v>10.3</v>
      </c>
      <c r="J30" s="56">
        <f>AVERAGE(J15:J25)</f>
        <v>5.8399999999999994E-2</v>
      </c>
      <c r="K30" s="13"/>
      <c r="L30" s="13"/>
      <c r="M30" s="13"/>
    </row>
    <row r="31" spans="1:13" ht="16.5">
      <c r="A31" s="13"/>
      <c r="B31" s="13"/>
      <c r="D31" s="57" t="s">
        <v>0</v>
      </c>
      <c r="E31" s="15"/>
      <c r="F31" s="15"/>
      <c r="G31" s="197"/>
      <c r="I31" s="197"/>
      <c r="J31" s="56"/>
      <c r="K31" s="13"/>
      <c r="L31" s="13"/>
      <c r="M31" s="13"/>
    </row>
    <row r="32" spans="1:13" ht="17.25" thickBot="1">
      <c r="A32" s="13"/>
      <c r="B32" s="13"/>
      <c r="C32" s="13"/>
      <c r="D32" s="13"/>
      <c r="E32" s="15"/>
      <c r="F32" s="57"/>
      <c r="G32" s="13"/>
      <c r="H32" s="13"/>
      <c r="I32" s="13"/>
      <c r="J32" s="13"/>
      <c r="K32" s="13"/>
      <c r="L32" s="13"/>
      <c r="M32" s="13"/>
    </row>
    <row r="33" spans="1:13" ht="27" thickBot="1">
      <c r="A33" s="13"/>
      <c r="B33" s="13"/>
      <c r="C33" s="13"/>
      <c r="D33" s="13"/>
      <c r="E33" s="13"/>
      <c r="F33" s="171"/>
      <c r="G33" s="260"/>
      <c r="H33" s="172" t="s">
        <v>250</v>
      </c>
      <c r="I33" s="322"/>
      <c r="J33" s="323">
        <v>5.8400000000000001E-2</v>
      </c>
      <c r="K33" s="13"/>
      <c r="L33" s="13"/>
      <c r="M33" s="13"/>
    </row>
    <row r="34" spans="1:13" ht="16.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16.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6.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21" thickBot="1">
      <c r="A37" s="248" t="s">
        <v>156</v>
      </c>
      <c r="B37" s="13"/>
      <c r="G37" s="13"/>
      <c r="H37" s="13"/>
      <c r="I37" s="13"/>
      <c r="J37" s="13"/>
      <c r="K37" s="13"/>
      <c r="L37" s="13"/>
      <c r="M37" s="13"/>
    </row>
    <row r="38" spans="1:13" ht="24">
      <c r="A38" s="378" t="s">
        <v>479</v>
      </c>
      <c r="B38" s="378" t="s">
        <v>326</v>
      </c>
      <c r="C38" s="378" t="s">
        <v>414</v>
      </c>
      <c r="D38" s="395" t="s">
        <v>441</v>
      </c>
      <c r="E38" s="395" t="s">
        <v>442</v>
      </c>
      <c r="F38" s="13"/>
      <c r="G38" s="13"/>
      <c r="H38" s="13"/>
      <c r="I38" s="13"/>
      <c r="M38" s="13"/>
    </row>
    <row r="39" spans="1:13" ht="17.25">
      <c r="A39" s="253" t="s">
        <v>331</v>
      </c>
      <c r="B39" s="254">
        <v>1</v>
      </c>
      <c r="C39" s="255" t="s">
        <v>332</v>
      </c>
      <c r="D39" s="379">
        <v>5.3100000000000001E-2</v>
      </c>
      <c r="E39" s="379">
        <v>5.3100000000000001E-2</v>
      </c>
      <c r="F39" s="13"/>
      <c r="G39" s="13"/>
      <c r="H39" s="13"/>
      <c r="I39" s="13"/>
      <c r="M39" s="13"/>
    </row>
    <row r="40" spans="1:13" ht="17.25">
      <c r="A40" s="58" t="s">
        <v>333</v>
      </c>
      <c r="B40" s="249">
        <v>2</v>
      </c>
      <c r="C40" s="256" t="s">
        <v>314</v>
      </c>
      <c r="D40" s="379">
        <v>5.3100000000000001E-2</v>
      </c>
      <c r="E40" s="379">
        <v>5.3100000000000001E-2</v>
      </c>
      <c r="F40" s="13" t="s">
        <v>207</v>
      </c>
      <c r="H40" s="13"/>
      <c r="I40" s="13"/>
      <c r="J40" s="13"/>
      <c r="M40" s="13"/>
    </row>
    <row r="41" spans="1:13" ht="18" thickBot="1">
      <c r="A41" s="59" t="s">
        <v>334</v>
      </c>
      <c r="B41" s="251">
        <v>3</v>
      </c>
      <c r="C41" s="257" t="s">
        <v>335</v>
      </c>
      <c r="D41" s="380">
        <v>5.3100000000000001E-2</v>
      </c>
      <c r="E41" s="379">
        <v>5.3100000000000001E-2</v>
      </c>
      <c r="F41" s="13"/>
      <c r="H41" s="13"/>
      <c r="I41" s="13"/>
      <c r="J41" s="13"/>
      <c r="M41" s="13"/>
    </row>
    <row r="42" spans="1:13" ht="17.25">
      <c r="A42" s="58" t="s">
        <v>155</v>
      </c>
      <c r="B42" s="249">
        <v>4</v>
      </c>
      <c r="C42" s="250" t="s">
        <v>315</v>
      </c>
      <c r="D42" s="379">
        <v>5.4899999999999997E-2</v>
      </c>
      <c r="E42" s="379">
        <v>5.57E-2</v>
      </c>
      <c r="F42" s="13"/>
      <c r="H42" s="13"/>
      <c r="I42" s="13"/>
      <c r="J42" s="13"/>
      <c r="M42" s="13"/>
    </row>
    <row r="43" spans="1:13" ht="17.25">
      <c r="A43" s="58" t="s">
        <v>154</v>
      </c>
      <c r="B43" s="249">
        <v>5</v>
      </c>
      <c r="C43" s="250" t="s">
        <v>316</v>
      </c>
      <c r="D43" s="379">
        <v>5.4899999999999997E-2</v>
      </c>
      <c r="E43" s="379">
        <v>5.57E-2</v>
      </c>
      <c r="F43" s="13" t="s">
        <v>317</v>
      </c>
      <c r="H43" s="13"/>
      <c r="I43" s="13"/>
      <c r="J43" s="13"/>
      <c r="M43" s="13"/>
    </row>
    <row r="44" spans="1:13" ht="18" thickBot="1">
      <c r="A44" s="59" t="s">
        <v>153</v>
      </c>
      <c r="B44" s="251">
        <v>6</v>
      </c>
      <c r="C44" s="252" t="s">
        <v>181</v>
      </c>
      <c r="D44" s="381">
        <v>5.4899999999999997E-2</v>
      </c>
      <c r="E44" s="379">
        <v>5.57E-2</v>
      </c>
      <c r="F44" s="13"/>
      <c r="H44" s="13"/>
      <c r="I44" s="13"/>
      <c r="J44" s="13"/>
      <c r="M44" s="13"/>
    </row>
    <row r="45" spans="1:13" ht="17.25">
      <c r="A45" s="58" t="s">
        <v>73</v>
      </c>
      <c r="B45" s="249">
        <v>7</v>
      </c>
      <c r="C45" s="250" t="s">
        <v>54</v>
      </c>
      <c r="D45" s="382">
        <v>5.6300000000000003E-2</v>
      </c>
      <c r="E45" s="383">
        <v>5.6800000000000003E-2</v>
      </c>
      <c r="H45" s="13"/>
      <c r="I45" s="13"/>
      <c r="J45" s="13"/>
      <c r="M45" s="13"/>
    </row>
    <row r="46" spans="1:13" ht="17.25">
      <c r="A46" s="58" t="s">
        <v>152</v>
      </c>
      <c r="B46" s="249">
        <v>8</v>
      </c>
      <c r="C46" s="250" t="s">
        <v>24</v>
      </c>
      <c r="D46" s="383">
        <v>5.6300000000000003E-2</v>
      </c>
      <c r="E46" s="383">
        <v>5.6800000000000003E-2</v>
      </c>
      <c r="F46" s="13" t="s">
        <v>208</v>
      </c>
      <c r="H46" s="13"/>
      <c r="I46" s="13"/>
      <c r="J46" s="13"/>
      <c r="K46" s="13"/>
      <c r="L46" s="13"/>
      <c r="M46" s="13"/>
    </row>
    <row r="47" spans="1:13" ht="18" thickBot="1">
      <c r="A47" s="59" t="s">
        <v>75</v>
      </c>
      <c r="B47" s="251">
        <v>9</v>
      </c>
      <c r="C47" s="252" t="s">
        <v>77</v>
      </c>
      <c r="D47" s="381">
        <v>5.6300000000000003E-2</v>
      </c>
      <c r="E47" s="383">
        <v>5.6800000000000003E-2</v>
      </c>
      <c r="F47" s="13"/>
      <c r="H47" s="13"/>
      <c r="I47" s="13"/>
      <c r="J47" s="13"/>
      <c r="K47" s="13"/>
      <c r="L47" s="13"/>
      <c r="M47" s="13"/>
    </row>
    <row r="48" spans="1:13" ht="17.25">
      <c r="A48" s="58" t="s">
        <v>67</v>
      </c>
      <c r="B48" s="249">
        <v>10</v>
      </c>
      <c r="C48" s="250" t="s">
        <v>69</v>
      </c>
      <c r="D48" s="383">
        <v>5.8999999999999997E-2</v>
      </c>
      <c r="E48" s="383">
        <v>5.8799999999999998E-2</v>
      </c>
      <c r="H48" s="13"/>
      <c r="I48" s="13"/>
      <c r="J48" s="13"/>
      <c r="K48" s="13"/>
      <c r="L48" s="13"/>
      <c r="M48" s="13"/>
    </row>
    <row r="49" spans="1:13" ht="17.25">
      <c r="A49" s="58" t="s">
        <v>68</v>
      </c>
      <c r="B49" s="249">
        <v>11</v>
      </c>
      <c r="C49" s="250" t="s">
        <v>70</v>
      </c>
      <c r="D49" s="383">
        <v>5.8999999999999997E-2</v>
      </c>
      <c r="E49" s="383">
        <v>5.8799999999999998E-2</v>
      </c>
      <c r="F49" s="13" t="s">
        <v>211</v>
      </c>
      <c r="H49" s="13"/>
      <c r="I49" s="13"/>
      <c r="J49" s="13"/>
      <c r="K49" s="13"/>
      <c r="L49" s="13"/>
      <c r="M49" s="13"/>
    </row>
    <row r="50" spans="1:13" ht="18" thickBot="1">
      <c r="A50" s="59" t="s">
        <v>76</v>
      </c>
      <c r="B50" s="251">
        <v>12</v>
      </c>
      <c r="C50" s="252" t="s">
        <v>78</v>
      </c>
      <c r="D50" s="383">
        <v>5.8999999999999997E-2</v>
      </c>
      <c r="E50" s="383">
        <v>5.8799999999999998E-2</v>
      </c>
      <c r="F50" s="13"/>
      <c r="H50" s="13"/>
      <c r="I50" s="13"/>
      <c r="J50" s="13"/>
      <c r="K50" s="13"/>
      <c r="L50" s="13"/>
      <c r="M50" s="13"/>
    </row>
    <row r="51" spans="1:13" ht="17.25">
      <c r="A51" s="58" t="s">
        <v>74</v>
      </c>
      <c r="B51" s="249">
        <v>13</v>
      </c>
      <c r="C51" s="250" t="s">
        <v>318</v>
      </c>
      <c r="D51" s="382">
        <v>8.1299999999999997E-2</v>
      </c>
      <c r="E51" s="379">
        <v>8.14E-2</v>
      </c>
      <c r="H51" s="13"/>
      <c r="I51" s="13"/>
      <c r="J51" s="13"/>
      <c r="K51" s="13"/>
      <c r="L51" s="13"/>
      <c r="M51" s="13"/>
    </row>
    <row r="52" spans="1:13" ht="17.25">
      <c r="A52" s="58" t="s">
        <v>151</v>
      </c>
      <c r="B52" s="249">
        <v>14</v>
      </c>
      <c r="C52" s="250" t="s">
        <v>319</v>
      </c>
      <c r="D52" s="379">
        <v>8.1299999999999997E-2</v>
      </c>
      <c r="E52" s="379">
        <v>8.14E-2</v>
      </c>
      <c r="F52" s="13" t="s">
        <v>210</v>
      </c>
      <c r="H52" s="13"/>
      <c r="I52" s="13"/>
      <c r="J52" s="13"/>
      <c r="K52" s="13"/>
      <c r="L52" s="13"/>
      <c r="M52" s="13"/>
    </row>
    <row r="53" spans="1:13" ht="18" thickBot="1">
      <c r="A53" s="59" t="s">
        <v>150</v>
      </c>
      <c r="B53" s="251">
        <v>15</v>
      </c>
      <c r="C53" s="252" t="s">
        <v>320</v>
      </c>
      <c r="D53" s="380">
        <v>8.1299999999999997E-2</v>
      </c>
      <c r="E53" s="379">
        <v>8.14E-2</v>
      </c>
      <c r="F53" s="13"/>
      <c r="H53" s="13"/>
      <c r="I53" s="13"/>
      <c r="J53" s="13"/>
      <c r="K53" s="13"/>
      <c r="L53" s="13"/>
      <c r="M53" s="13"/>
    </row>
    <row r="54" spans="1:13" ht="17.25">
      <c r="A54" s="58" t="s">
        <v>149</v>
      </c>
      <c r="B54" s="249">
        <v>16</v>
      </c>
      <c r="C54" s="250" t="s">
        <v>25</v>
      </c>
      <c r="D54" s="382">
        <v>8.9899999999999994E-2</v>
      </c>
      <c r="E54" s="383">
        <v>0.09</v>
      </c>
      <c r="H54" s="13"/>
      <c r="I54" s="13"/>
      <c r="J54" s="13"/>
      <c r="K54" s="13"/>
      <c r="L54" s="13"/>
      <c r="M54" s="13"/>
    </row>
    <row r="55" spans="1:13" ht="17.25">
      <c r="A55" s="58" t="s">
        <v>148</v>
      </c>
      <c r="B55" s="249">
        <v>17</v>
      </c>
      <c r="C55" s="250" t="s">
        <v>107</v>
      </c>
      <c r="D55" s="383">
        <v>8.9899999999999994E-2</v>
      </c>
      <c r="E55" s="383">
        <v>0.09</v>
      </c>
      <c r="F55" s="13" t="s">
        <v>209</v>
      </c>
      <c r="H55" s="13"/>
      <c r="I55" s="13"/>
      <c r="J55" s="13"/>
      <c r="K55" s="13"/>
      <c r="L55" s="13"/>
      <c r="M55" s="13"/>
    </row>
    <row r="56" spans="1:13" ht="18" thickBot="1">
      <c r="A56" s="59" t="s">
        <v>147</v>
      </c>
      <c r="B56" s="251">
        <v>18</v>
      </c>
      <c r="C56" s="252" t="s">
        <v>321</v>
      </c>
      <c r="D56" s="380">
        <v>8.9899999999999994E-2</v>
      </c>
      <c r="E56" s="383">
        <v>0.09</v>
      </c>
      <c r="F56" s="13"/>
      <c r="H56" s="13"/>
      <c r="I56" s="13"/>
      <c r="J56" s="13"/>
      <c r="K56" s="13"/>
      <c r="L56" s="13"/>
      <c r="M56" s="13"/>
    </row>
    <row r="57" spans="1:13" ht="17.25">
      <c r="A57" s="58" t="s">
        <v>146</v>
      </c>
      <c r="B57" s="249">
        <v>19</v>
      </c>
      <c r="C57" s="250" t="s">
        <v>322</v>
      </c>
      <c r="D57" s="383">
        <v>9.8500000000000004E-2</v>
      </c>
      <c r="E57" s="383">
        <v>9.8599999999999993E-2</v>
      </c>
      <c r="H57" s="13"/>
      <c r="I57" s="13"/>
      <c r="J57" s="13"/>
      <c r="K57" s="13"/>
      <c r="L57" s="13"/>
      <c r="M57" s="13"/>
    </row>
    <row r="58" spans="1:13" ht="17.25">
      <c r="A58" s="58" t="s">
        <v>145</v>
      </c>
      <c r="B58" s="249">
        <v>20</v>
      </c>
      <c r="C58" s="250" t="s">
        <v>323</v>
      </c>
      <c r="D58" s="383">
        <v>9.8500000000000004E-2</v>
      </c>
      <c r="E58" s="383">
        <v>9.8599999999999993E-2</v>
      </c>
      <c r="F58" s="13" t="s">
        <v>206</v>
      </c>
      <c r="H58" s="13"/>
      <c r="I58" s="13"/>
      <c r="J58" s="13"/>
      <c r="K58" s="13"/>
      <c r="L58" s="13"/>
      <c r="M58" s="13"/>
    </row>
    <row r="59" spans="1:13" ht="18" thickBot="1">
      <c r="A59" s="59" t="s">
        <v>144</v>
      </c>
      <c r="B59" s="251">
        <v>21</v>
      </c>
      <c r="C59" s="384" t="s">
        <v>324</v>
      </c>
      <c r="D59" s="381">
        <v>9.8500000000000004E-2</v>
      </c>
      <c r="E59" s="383">
        <v>9.8599999999999993E-2</v>
      </c>
      <c r="F59" s="13"/>
      <c r="H59" s="13"/>
      <c r="I59" s="13"/>
      <c r="J59" s="13"/>
      <c r="K59" s="13"/>
      <c r="L59" s="13"/>
    </row>
    <row r="60" spans="1:13" ht="17.25">
      <c r="A60" s="385" t="s">
        <v>336</v>
      </c>
      <c r="B60" s="386">
        <v>22</v>
      </c>
      <c r="C60" s="387" t="s">
        <v>337</v>
      </c>
      <c r="D60" s="383"/>
      <c r="E60" s="383"/>
      <c r="H60" s="13"/>
      <c r="I60" s="13"/>
      <c r="J60" s="13"/>
    </row>
    <row r="61" spans="1:13" ht="17.25">
      <c r="A61" s="385" t="s">
        <v>338</v>
      </c>
      <c r="B61" s="388">
        <v>23</v>
      </c>
      <c r="C61" s="389" t="s">
        <v>325</v>
      </c>
      <c r="D61" s="383"/>
      <c r="E61" s="383"/>
      <c r="F61" s="13" t="s">
        <v>204</v>
      </c>
      <c r="H61" s="13"/>
      <c r="I61" s="13"/>
      <c r="J61" s="13"/>
    </row>
    <row r="62" spans="1:13" ht="18" thickBot="1">
      <c r="A62" s="390" t="s">
        <v>339</v>
      </c>
      <c r="B62" s="391">
        <v>24</v>
      </c>
      <c r="C62" s="384" t="s">
        <v>340</v>
      </c>
      <c r="D62" s="383"/>
      <c r="E62" s="383"/>
      <c r="F62" s="13"/>
      <c r="H62" s="13"/>
      <c r="I62" s="13"/>
      <c r="J62" s="13"/>
    </row>
    <row r="63" spans="1:13" ht="18" thickBot="1">
      <c r="A63" s="59" t="s">
        <v>267</v>
      </c>
      <c r="B63" s="251">
        <v>25</v>
      </c>
      <c r="C63" s="59" t="s">
        <v>108</v>
      </c>
      <c r="D63" s="392"/>
      <c r="E63" s="392"/>
      <c r="F63" s="13" t="s">
        <v>205</v>
      </c>
      <c r="H63" s="13"/>
      <c r="I63" s="13"/>
      <c r="J63" s="13"/>
    </row>
  </sheetData>
  <pageMargins left="0.25" right="0.25" top="0.75" bottom="0.75" header="0.3" footer="0.3"/>
  <pageSetup scale="42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40"/>
  <sheetViews>
    <sheetView view="pageBreakPreview" topLeftCell="A3" zoomScale="60" zoomScaleNormal="80" workbookViewId="0">
      <selection activeCell="D4" sqref="D4"/>
    </sheetView>
  </sheetViews>
  <sheetFormatPr defaultRowHeight="15"/>
  <cols>
    <col min="1" max="1" width="48.85546875" customWidth="1"/>
    <col min="2" max="2" width="11.5703125" customWidth="1"/>
    <col min="3" max="3" width="19.85546875" customWidth="1"/>
    <col min="4" max="4" width="24.7109375" customWidth="1"/>
    <col min="5" max="5" width="22.7109375" customWidth="1"/>
    <col min="6" max="7" width="21.28515625" customWidth="1"/>
    <col min="8" max="8" width="14.85546875" customWidth="1"/>
    <col min="9" max="9" width="18.42578125" customWidth="1"/>
    <col min="10" max="10" width="21.28515625" customWidth="1"/>
    <col min="11" max="11" width="2.28515625" customWidth="1"/>
    <col min="12" max="12" width="22.7109375" customWidth="1"/>
    <col min="13" max="13" width="17.28515625" customWidth="1"/>
  </cols>
  <sheetData>
    <row r="1" spans="1:14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7.25">
      <c r="A2" s="63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6.5">
      <c r="A3" s="27" t="s">
        <v>485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6.5">
      <c r="A4" s="13"/>
      <c r="B4" s="13"/>
      <c r="C4" s="13"/>
      <c r="D4" s="489" t="s">
        <v>0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8" thickBot="1">
      <c r="A5" s="6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8" thickBot="1">
      <c r="A6" s="239" t="str">
        <f>+'S&amp;D'!A12</f>
        <v>Natural Gas Utility Distribution</v>
      </c>
      <c r="B6" s="176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7.25">
      <c r="A7" s="6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8" thickBot="1">
      <c r="A8" s="63"/>
      <c r="B8" s="30"/>
      <c r="C8" s="30"/>
      <c r="D8" s="30"/>
      <c r="E8" s="30"/>
      <c r="F8" s="13"/>
      <c r="G8" s="13"/>
      <c r="H8" s="30"/>
      <c r="I8" s="30"/>
      <c r="J8" s="30"/>
      <c r="K8" s="30"/>
      <c r="L8" s="30"/>
      <c r="M8" s="30"/>
      <c r="N8" s="13"/>
    </row>
    <row r="9" spans="1:14" ht="26.25">
      <c r="B9" s="13"/>
      <c r="C9" s="13"/>
      <c r="D9" s="32" t="s">
        <v>303</v>
      </c>
      <c r="E9" s="13"/>
      <c r="F9" s="13"/>
      <c r="G9" s="13"/>
      <c r="H9" s="13"/>
      <c r="I9" s="13"/>
      <c r="J9" s="13"/>
      <c r="K9" s="69" t="s">
        <v>304</v>
      </c>
      <c r="L9" s="13"/>
      <c r="M9" s="13"/>
      <c r="N9" s="13"/>
    </row>
    <row r="10" spans="1:14" ht="21" thickBot="1">
      <c r="A10" s="31"/>
      <c r="B10" s="30"/>
      <c r="C10" s="30"/>
      <c r="D10" s="37" t="s">
        <v>498</v>
      </c>
      <c r="E10" s="30"/>
      <c r="F10" s="13"/>
      <c r="G10" s="13"/>
      <c r="H10" s="30"/>
      <c r="I10" s="30"/>
      <c r="J10" s="30"/>
      <c r="K10" s="37" t="s">
        <v>498</v>
      </c>
      <c r="L10" s="30"/>
      <c r="M10" s="30"/>
      <c r="N10" s="13"/>
    </row>
    <row r="11" spans="1:14" ht="17.25" thickBot="1">
      <c r="A11" s="34" t="s">
        <v>0</v>
      </c>
      <c r="B11" s="34" t="s">
        <v>0</v>
      </c>
      <c r="C11" s="34" t="s">
        <v>0</v>
      </c>
      <c r="D11" s="34" t="s">
        <v>0</v>
      </c>
      <c r="E11" s="34" t="s">
        <v>0</v>
      </c>
      <c r="F11" s="34" t="s">
        <v>0</v>
      </c>
      <c r="G11" s="41"/>
      <c r="H11" s="238"/>
      <c r="I11" s="34" t="s">
        <v>0</v>
      </c>
      <c r="J11" s="30"/>
      <c r="K11" s="30"/>
      <c r="L11" s="30"/>
      <c r="M11" s="30"/>
      <c r="N11" s="13"/>
    </row>
    <row r="12" spans="1:14" ht="16.5">
      <c r="A12" s="35" t="s">
        <v>0</v>
      </c>
      <c r="B12" s="35" t="s">
        <v>3</v>
      </c>
      <c r="C12" s="35" t="s">
        <v>350</v>
      </c>
      <c r="D12" s="35" t="s">
        <v>128</v>
      </c>
      <c r="E12" s="35" t="s">
        <v>128</v>
      </c>
      <c r="F12" s="35" t="s">
        <v>27</v>
      </c>
      <c r="G12" s="35"/>
      <c r="H12" s="35" t="s">
        <v>3</v>
      </c>
      <c r="I12" s="35" t="s">
        <v>350</v>
      </c>
      <c r="J12" s="35" t="s">
        <v>128</v>
      </c>
      <c r="K12" s="35"/>
      <c r="L12" s="35" t="s">
        <v>128</v>
      </c>
      <c r="M12" s="35" t="s">
        <v>27</v>
      </c>
      <c r="N12" s="13"/>
    </row>
    <row r="13" spans="1:14" ht="17.25" thickBot="1">
      <c r="A13" s="37" t="s">
        <v>2</v>
      </c>
      <c r="B13" s="37" t="s">
        <v>4</v>
      </c>
      <c r="C13" s="37" t="s">
        <v>28</v>
      </c>
      <c r="D13" s="37" t="s">
        <v>177</v>
      </c>
      <c r="E13" s="37" t="s">
        <v>29</v>
      </c>
      <c r="F13" s="37" t="s">
        <v>30</v>
      </c>
      <c r="G13" s="35"/>
      <c r="H13" s="37" t="s">
        <v>4</v>
      </c>
      <c r="I13" s="37" t="s">
        <v>28</v>
      </c>
      <c r="J13" s="37" t="s">
        <v>177</v>
      </c>
      <c r="K13" s="37"/>
      <c r="L13" s="37" t="s">
        <v>29</v>
      </c>
      <c r="M13" s="37" t="s">
        <v>30</v>
      </c>
      <c r="N13" s="13"/>
    </row>
    <row r="14" spans="1:14" ht="16.5">
      <c r="A14" s="39" t="s">
        <v>0</v>
      </c>
      <c r="B14" s="39" t="s">
        <v>0</v>
      </c>
      <c r="C14" s="40" t="s">
        <v>131</v>
      </c>
      <c r="D14" s="39" t="s">
        <v>132</v>
      </c>
      <c r="E14" s="39" t="s">
        <v>0</v>
      </c>
      <c r="F14" s="39" t="s">
        <v>0</v>
      </c>
      <c r="G14" s="41"/>
      <c r="H14" s="39" t="s">
        <v>0</v>
      </c>
      <c r="I14" s="40" t="s">
        <v>131</v>
      </c>
      <c r="J14" s="39" t="s">
        <v>133</v>
      </c>
      <c r="K14" s="39"/>
      <c r="L14" s="39" t="s">
        <v>0</v>
      </c>
      <c r="M14" s="39" t="s">
        <v>0</v>
      </c>
      <c r="N14" s="13"/>
    </row>
    <row r="15" spans="1:14" ht="16.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13"/>
    </row>
    <row r="16" spans="1:14" ht="16.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17.25">
      <c r="A17" s="44" t="str">
        <f>+'S&amp;D'!A22</f>
        <v>Atmos Energy Corp</v>
      </c>
      <c r="B17" s="44" t="str">
        <f>+'S&amp;D'!B22</f>
        <v>ATO</v>
      </c>
      <c r="C17" s="60">
        <f>+'S&amp;D'!G22</f>
        <v>167.63</v>
      </c>
      <c r="D17" s="62">
        <v>12.8</v>
      </c>
      <c r="E17" s="70">
        <f t="shared" ref="E17:E27" si="0">C17/D17</f>
        <v>13.09609375</v>
      </c>
      <c r="F17" s="57">
        <f t="shared" ref="F17:F27" si="1">1/E17</f>
        <v>7.6358647020223117E-2</v>
      </c>
      <c r="G17" s="57"/>
      <c r="H17" s="35" t="str">
        <f>+B17</f>
        <v>ATO</v>
      </c>
      <c r="I17" s="60">
        <f>+C17</f>
        <v>167.63</v>
      </c>
      <c r="J17" s="62">
        <v>13.45</v>
      </c>
      <c r="K17" s="62"/>
      <c r="L17" s="70">
        <f t="shared" ref="L17:L27" si="2">I17/J17</f>
        <v>12.463197026022305</v>
      </c>
      <c r="M17" s="57">
        <f t="shared" ref="M17:M27" si="3">1/L17</f>
        <v>8.0236234564218814E-2</v>
      </c>
      <c r="N17" s="13"/>
    </row>
    <row r="18" spans="1:14" ht="17.25">
      <c r="A18" s="44" t="str">
        <f>+'S&amp;D'!A23</f>
        <v>Black Hills Corporation</v>
      </c>
      <c r="B18" s="44" t="str">
        <f>+'S&amp;D'!B23</f>
        <v>BKH</v>
      </c>
      <c r="C18" s="60">
        <f>+'S&amp;D'!G23</f>
        <v>69.42</v>
      </c>
      <c r="D18" s="62">
        <v>7.85</v>
      </c>
      <c r="E18" s="70">
        <f t="shared" si="0"/>
        <v>8.8433121019108292</v>
      </c>
      <c r="F18" s="57">
        <f t="shared" si="1"/>
        <v>0.11307980409104003</v>
      </c>
      <c r="G18" s="57"/>
      <c r="H18" s="35" t="str">
        <f t="shared" ref="H18:H27" si="4">+B18</f>
        <v>BKH</v>
      </c>
      <c r="I18" s="60">
        <f>+C18</f>
        <v>69.42</v>
      </c>
      <c r="J18" s="62">
        <v>8.0500000000000007</v>
      </c>
      <c r="K18" s="62"/>
      <c r="L18" s="70">
        <f t="shared" si="2"/>
        <v>8.62360248447205</v>
      </c>
      <c r="M18" s="57">
        <f t="shared" si="3"/>
        <v>0.11596081820800921</v>
      </c>
      <c r="N18" s="13"/>
    </row>
    <row r="19" spans="1:14" ht="17.25">
      <c r="A19" s="44" t="str">
        <f>+'S&amp;D'!A24</f>
        <v>CenterPoint Energy Inc.</v>
      </c>
      <c r="B19" s="44" t="str">
        <f>+'S&amp;D'!B24</f>
        <v>CNP</v>
      </c>
      <c r="C19" s="60">
        <f>+'S&amp;D'!G24</f>
        <v>38.340000000000003</v>
      </c>
      <c r="D19" s="62">
        <v>4.3499999999999996</v>
      </c>
      <c r="E19" s="70">
        <f t="shared" si="0"/>
        <v>8.8137931034482779</v>
      </c>
      <c r="F19" s="57">
        <f t="shared" si="1"/>
        <v>0.11345852895148667</v>
      </c>
      <c r="G19" s="57"/>
      <c r="H19" s="35" t="str">
        <f t="shared" si="4"/>
        <v>CNP</v>
      </c>
      <c r="I19" s="60">
        <f>+C19</f>
        <v>38.340000000000003</v>
      </c>
      <c r="J19" s="62">
        <v>4.6500000000000004</v>
      </c>
      <c r="K19" s="62"/>
      <c r="L19" s="70">
        <f t="shared" si="2"/>
        <v>8.2451612903225815</v>
      </c>
      <c r="M19" s="57">
        <f t="shared" si="3"/>
        <v>0.12128325508607198</v>
      </c>
      <c r="N19" s="13"/>
    </row>
    <row r="20" spans="1:14" ht="17.25">
      <c r="A20" s="44" t="str">
        <f>+'S&amp;D'!A25</f>
        <v>CMS Energy Corporation</v>
      </c>
      <c r="B20" s="44" t="str">
        <f>+'S&amp;D'!B25</f>
        <v>CMS</v>
      </c>
      <c r="C20" s="60">
        <f>+'S&amp;D'!G25</f>
        <v>69.930000000000007</v>
      </c>
      <c r="D20" s="62">
        <v>8.1999999999999993</v>
      </c>
      <c r="E20" s="70">
        <f t="shared" si="0"/>
        <v>8.528048780487806</v>
      </c>
      <c r="F20" s="57">
        <f t="shared" si="1"/>
        <v>0.11726011726011724</v>
      </c>
      <c r="G20" s="57"/>
      <c r="H20" s="35" t="str">
        <f t="shared" si="4"/>
        <v>CMS</v>
      </c>
      <c r="I20" s="60">
        <f>+C20</f>
        <v>69.930000000000007</v>
      </c>
      <c r="J20" s="62">
        <v>8.65</v>
      </c>
      <c r="K20" s="62"/>
      <c r="L20" s="70">
        <f t="shared" si="2"/>
        <v>8.0843930635838159</v>
      </c>
      <c r="M20" s="57">
        <f t="shared" si="3"/>
        <v>0.12369512369512368</v>
      </c>
      <c r="N20" s="13"/>
    </row>
    <row r="21" spans="1:14" ht="17.25">
      <c r="A21" s="44" t="str">
        <f>+'S&amp;D'!A26</f>
        <v>New Jersey Resources Corp</v>
      </c>
      <c r="B21" s="44" t="str">
        <f>+'S&amp;D'!B26</f>
        <v>NJR</v>
      </c>
      <c r="C21" s="60">
        <f>+'S&amp;D'!G26</f>
        <v>46.12</v>
      </c>
      <c r="D21" s="62">
        <v>5.3</v>
      </c>
      <c r="E21" s="70">
        <f t="shared" si="0"/>
        <v>8.7018867924528305</v>
      </c>
      <c r="F21" s="57">
        <f t="shared" si="1"/>
        <v>0.11491760624457935</v>
      </c>
      <c r="G21" s="57"/>
      <c r="H21" s="35" t="str">
        <f t="shared" si="4"/>
        <v>NJR</v>
      </c>
      <c r="I21" s="60">
        <f t="shared" ref="I21:I27" si="5">+C21</f>
        <v>46.12</v>
      </c>
      <c r="J21" s="62">
        <v>5.5</v>
      </c>
      <c r="K21" s="62"/>
      <c r="L21" s="70">
        <f t="shared" si="2"/>
        <v>8.3854545454545448</v>
      </c>
      <c r="M21" s="57">
        <f t="shared" si="3"/>
        <v>0.11925411968777104</v>
      </c>
      <c r="N21" s="13"/>
    </row>
    <row r="22" spans="1:14" ht="17.25">
      <c r="A22" s="44" t="str">
        <f>+'S&amp;D'!A27</f>
        <v>NISOURCE Inc.</v>
      </c>
      <c r="B22" s="44" t="str">
        <f>+'S&amp;D'!B27</f>
        <v>NI</v>
      </c>
      <c r="C22" s="60">
        <f>+'S&amp;D'!G27</f>
        <v>41.76</v>
      </c>
      <c r="D22" s="62">
        <v>4.2</v>
      </c>
      <c r="E22" s="70">
        <f t="shared" si="0"/>
        <v>9.9428571428571413</v>
      </c>
      <c r="F22" s="57">
        <f t="shared" si="1"/>
        <v>0.10057471264367818</v>
      </c>
      <c r="G22" s="57"/>
      <c r="H22" s="35" t="str">
        <f t="shared" si="4"/>
        <v>NI</v>
      </c>
      <c r="I22" s="60">
        <f t="shared" si="5"/>
        <v>41.76</v>
      </c>
      <c r="J22" s="62">
        <v>4.9000000000000004</v>
      </c>
      <c r="K22" s="62"/>
      <c r="L22" s="70">
        <f t="shared" si="2"/>
        <v>8.5224489795918359</v>
      </c>
      <c r="M22" s="57">
        <f t="shared" si="3"/>
        <v>0.11733716475095786</v>
      </c>
      <c r="N22" s="13"/>
    </row>
    <row r="23" spans="1:14" ht="17.25">
      <c r="A23" s="44" t="str">
        <f>+'S&amp;D'!A28</f>
        <v xml:space="preserve">Northwest Natural Holding Company </v>
      </c>
      <c r="B23" s="44" t="str">
        <f>+'S&amp;D'!B28</f>
        <v>NWN</v>
      </c>
      <c r="C23" s="60">
        <f>+'S&amp;D'!G28</f>
        <v>46.74</v>
      </c>
      <c r="D23" s="62">
        <v>6.55</v>
      </c>
      <c r="E23" s="70">
        <f t="shared" si="0"/>
        <v>7.1358778625954207</v>
      </c>
      <c r="F23" s="57">
        <f t="shared" si="1"/>
        <v>0.1401369276850663</v>
      </c>
      <c r="G23" s="57"/>
      <c r="H23" s="35" t="str">
        <f t="shared" si="4"/>
        <v>NWN</v>
      </c>
      <c r="I23" s="60">
        <f t="shared" si="5"/>
        <v>46.74</v>
      </c>
      <c r="J23" s="62">
        <v>6.8</v>
      </c>
      <c r="K23" s="62"/>
      <c r="L23" s="70">
        <f t="shared" si="2"/>
        <v>6.8735294117647063</v>
      </c>
      <c r="M23" s="57">
        <f t="shared" si="3"/>
        <v>0.14548566538296961</v>
      </c>
      <c r="N23" s="13"/>
    </row>
    <row r="24" spans="1:14" ht="17.25">
      <c r="A24" s="44" t="str">
        <f>+'S&amp;D'!A29</f>
        <v>One Gas INC</v>
      </c>
      <c r="B24" s="44" t="str">
        <f>+'S&amp;D'!B29</f>
        <v>OGS</v>
      </c>
      <c r="C24" s="60">
        <f>+'S&amp;D'!G29</f>
        <v>77.25</v>
      </c>
      <c r="D24" s="62">
        <v>10.1</v>
      </c>
      <c r="E24" s="70">
        <f t="shared" si="0"/>
        <v>7.6485148514851486</v>
      </c>
      <c r="F24" s="57">
        <f t="shared" si="1"/>
        <v>0.13074433656957929</v>
      </c>
      <c r="G24" s="57"/>
      <c r="H24" s="35" t="str">
        <f t="shared" si="4"/>
        <v>OGS</v>
      </c>
      <c r="I24" s="60">
        <f t="shared" si="5"/>
        <v>77.25</v>
      </c>
      <c r="J24" s="62">
        <v>10.5</v>
      </c>
      <c r="K24" s="62"/>
      <c r="L24" s="70">
        <f t="shared" si="2"/>
        <v>7.3571428571428568</v>
      </c>
      <c r="M24" s="57">
        <f t="shared" si="3"/>
        <v>0.13592233009708737</v>
      </c>
      <c r="N24" s="13"/>
    </row>
    <row r="25" spans="1:14" ht="17.25">
      <c r="A25" s="44" t="str">
        <f>+'S&amp;D'!A30</f>
        <v>Southwest Gas Holdings, Inc</v>
      </c>
      <c r="B25" s="44" t="str">
        <f>+'S&amp;D'!B30</f>
        <v>SWX</v>
      </c>
      <c r="C25" s="60">
        <f>+'S&amp;D'!G30</f>
        <v>80.02</v>
      </c>
      <c r="D25" s="62">
        <v>8.8000000000000007</v>
      </c>
      <c r="E25" s="70">
        <f t="shared" si="0"/>
        <v>9.0931818181818169</v>
      </c>
      <c r="F25" s="57">
        <f t="shared" si="1"/>
        <v>0.10997250687328169</v>
      </c>
      <c r="G25" s="57"/>
      <c r="H25" s="35" t="str">
        <f t="shared" si="4"/>
        <v>SWX</v>
      </c>
      <c r="I25" s="60">
        <f t="shared" si="5"/>
        <v>80.02</v>
      </c>
      <c r="J25" s="62">
        <v>9.15</v>
      </c>
      <c r="K25" s="62"/>
      <c r="L25" s="70">
        <f t="shared" si="2"/>
        <v>8.745355191256829</v>
      </c>
      <c r="M25" s="57">
        <f t="shared" si="3"/>
        <v>0.11434641339665086</v>
      </c>
      <c r="N25" s="13"/>
    </row>
    <row r="26" spans="1:14" ht="17.25">
      <c r="A26" s="44" t="str">
        <f>+'S&amp;D'!A31</f>
        <v>Spire Inc / Laclede Group Inc</v>
      </c>
      <c r="B26" s="44" t="str">
        <f>+'S&amp;D'!B31</f>
        <v>SR</v>
      </c>
      <c r="C26" s="60">
        <f>+'S&amp;D'!G31</f>
        <v>82.7</v>
      </c>
      <c r="D26" s="62">
        <v>10.55</v>
      </c>
      <c r="E26" s="70">
        <f t="shared" si="0"/>
        <v>7.8388625592417061</v>
      </c>
      <c r="F26" s="57">
        <f t="shared" si="1"/>
        <v>0.12756952841596131</v>
      </c>
      <c r="G26" s="57"/>
      <c r="H26" s="35" t="str">
        <f t="shared" si="4"/>
        <v>SR</v>
      </c>
      <c r="I26" s="60">
        <f t="shared" si="5"/>
        <v>82.7</v>
      </c>
      <c r="J26" s="62">
        <v>11.15</v>
      </c>
      <c r="K26" s="62"/>
      <c r="L26" s="70">
        <f t="shared" si="2"/>
        <v>7.4170403587443943</v>
      </c>
      <c r="M26" s="57">
        <f t="shared" si="3"/>
        <v>0.13482466747279323</v>
      </c>
      <c r="N26" s="13"/>
    </row>
    <row r="27" spans="1:14" ht="17.25">
      <c r="A27" s="44" t="str">
        <f>+'S&amp;D'!A32</f>
        <v>WEC Energy Group</v>
      </c>
      <c r="B27" s="44" t="str">
        <f>+'S&amp;D'!B32</f>
        <v>WEC</v>
      </c>
      <c r="C27" s="60">
        <f>+'S&amp;D'!G32</f>
        <v>105.46</v>
      </c>
      <c r="D27" s="62">
        <v>11.15</v>
      </c>
      <c r="E27" s="70">
        <f t="shared" si="0"/>
        <v>9.4582959641255595</v>
      </c>
      <c r="F27" s="57">
        <f t="shared" si="1"/>
        <v>0.1057272899677603</v>
      </c>
      <c r="G27" s="57"/>
      <c r="H27" s="35" t="str">
        <f t="shared" si="4"/>
        <v>WEC</v>
      </c>
      <c r="I27" s="60">
        <f t="shared" si="5"/>
        <v>105.46</v>
      </c>
      <c r="J27" s="62">
        <v>11.55</v>
      </c>
      <c r="K27" s="62"/>
      <c r="L27" s="70">
        <f t="shared" si="2"/>
        <v>9.1307359307359288</v>
      </c>
      <c r="M27" s="57">
        <f t="shared" si="3"/>
        <v>0.10952019723117772</v>
      </c>
      <c r="N27" s="13"/>
    </row>
    <row r="28" spans="1:14" ht="17.25" thickBot="1">
      <c r="A28" s="13"/>
      <c r="B28" s="71"/>
      <c r="C28" s="71"/>
      <c r="D28" s="71"/>
      <c r="E28" s="71"/>
      <c r="F28" s="71"/>
      <c r="G28" s="13"/>
      <c r="H28" s="71"/>
      <c r="I28" s="71"/>
      <c r="J28" s="71"/>
      <c r="K28" s="71"/>
      <c r="L28" s="71"/>
      <c r="M28" s="71"/>
      <c r="N28" s="13"/>
    </row>
    <row r="29" spans="1:14" ht="17.25" thickTop="1">
      <c r="A29" s="13"/>
      <c r="C29" s="15" t="s">
        <v>56</v>
      </c>
      <c r="D29" s="277">
        <f>MAX(D17:D27)</f>
        <v>12.8</v>
      </c>
      <c r="E29" s="277">
        <f t="shared" ref="E29:F29" si="6">MAX(E17:E27)</f>
        <v>13.09609375</v>
      </c>
      <c r="F29" s="266">
        <f t="shared" si="6"/>
        <v>0.1401369276850663</v>
      </c>
      <c r="I29" s="15" t="s">
        <v>56</v>
      </c>
      <c r="J29" s="277">
        <f t="shared" ref="J29:M29" si="7">MAX(J17:J27)</f>
        <v>13.45</v>
      </c>
      <c r="K29" s="277"/>
      <c r="L29" s="277">
        <f t="shared" si="7"/>
        <v>12.463197026022305</v>
      </c>
      <c r="M29" s="266">
        <f t="shared" si="7"/>
        <v>0.14548566538296961</v>
      </c>
      <c r="N29" s="13"/>
    </row>
    <row r="30" spans="1:14" ht="16.5">
      <c r="A30" s="13"/>
      <c r="C30" s="15" t="s">
        <v>57</v>
      </c>
      <c r="D30" s="281">
        <f>MIN(D17:D27)</f>
        <v>4.2</v>
      </c>
      <c r="E30" s="281">
        <f t="shared" ref="E30:F30" si="8">MIN(E17:E27)</f>
        <v>7.1358778625954207</v>
      </c>
      <c r="F30" s="267">
        <f t="shared" si="8"/>
        <v>7.6358647020223117E-2</v>
      </c>
      <c r="I30" s="15" t="s">
        <v>57</v>
      </c>
      <c r="J30" s="281">
        <f t="shared" ref="J30:M30" si="9">MIN(J17:J27)</f>
        <v>4.6500000000000004</v>
      </c>
      <c r="K30" s="281"/>
      <c r="L30" s="281">
        <f t="shared" si="9"/>
        <v>6.8735294117647063</v>
      </c>
      <c r="M30" s="267">
        <f t="shared" si="9"/>
        <v>8.0236234564218814E-2</v>
      </c>
      <c r="N30" s="13"/>
    </row>
    <row r="31" spans="1:14" ht="16.5">
      <c r="A31" s="13"/>
      <c r="C31" s="15" t="s">
        <v>18</v>
      </c>
      <c r="D31" s="72">
        <f>MEDIAN(D17:D27)</f>
        <v>8.1999999999999993</v>
      </c>
      <c r="E31" s="22">
        <f>MEDIAN(E17:E27)</f>
        <v>8.8137931034482779</v>
      </c>
      <c r="F31" s="57">
        <f>MEDIAN(F17:F27)</f>
        <v>0.11345852895148667</v>
      </c>
      <c r="I31" s="15" t="s">
        <v>18</v>
      </c>
      <c r="J31" s="72">
        <f>MEDIAN(J17:J27)</f>
        <v>8.65</v>
      </c>
      <c r="K31" s="72"/>
      <c r="L31" s="22">
        <f>MEDIAN(L17:L27)</f>
        <v>8.3854545454545448</v>
      </c>
      <c r="M31" s="57">
        <f>MEDIAN(M17:M27)</f>
        <v>0.11925411968777104</v>
      </c>
      <c r="N31" s="13"/>
    </row>
    <row r="32" spans="1:14" ht="16.5">
      <c r="A32" s="13"/>
      <c r="C32" s="15" t="s">
        <v>413</v>
      </c>
      <c r="D32" s="18">
        <f>AVERAGE(D17:D27)</f>
        <v>8.1681818181818198</v>
      </c>
      <c r="E32" s="22">
        <f>AVERAGE(E17:E27)</f>
        <v>9.0091567933442303</v>
      </c>
      <c r="F32" s="73">
        <f>AVERAGE(F17:F27)</f>
        <v>0.11361818233843396</v>
      </c>
      <c r="I32" s="15" t="s">
        <v>413</v>
      </c>
      <c r="J32" s="18">
        <f>AVERAGE(J17:J27)</f>
        <v>8.5772727272727263</v>
      </c>
      <c r="K32" s="18"/>
      <c r="L32" s="22">
        <f>AVERAGE(L17:L27)</f>
        <v>8.5316419217356234</v>
      </c>
      <c r="M32" s="73">
        <f>AVERAGE(M17:M27)</f>
        <v>0.11980599905207559</v>
      </c>
      <c r="N32" s="13"/>
    </row>
    <row r="33" spans="1:14" ht="16.5">
      <c r="A33" s="13"/>
      <c r="B33" s="13"/>
      <c r="C33" s="13"/>
      <c r="D33" s="13"/>
      <c r="E33" s="13"/>
      <c r="F33" s="13"/>
      <c r="H33" s="13"/>
      <c r="I33" s="13"/>
      <c r="J33" s="13"/>
      <c r="K33" s="13"/>
      <c r="L33" s="13"/>
      <c r="M33" s="13"/>
      <c r="N33" s="13"/>
    </row>
    <row r="34" spans="1:14" ht="26.25">
      <c r="A34" s="13"/>
      <c r="B34" s="13"/>
      <c r="C34" s="13"/>
      <c r="D34" s="77" t="s">
        <v>92</v>
      </c>
      <c r="E34" s="332">
        <v>9.01</v>
      </c>
      <c r="F34" s="287">
        <v>0.11360000000000001</v>
      </c>
      <c r="H34" s="13"/>
      <c r="I34" s="13"/>
      <c r="J34" s="77" t="s">
        <v>92</v>
      </c>
      <c r="K34" s="49"/>
      <c r="L34" s="333">
        <v>8.5299999999999994</v>
      </c>
      <c r="M34" s="287">
        <v>0.1198</v>
      </c>
      <c r="N34" s="13"/>
    </row>
    <row r="35" spans="1:14" ht="17.25" thickBot="1">
      <c r="A35" s="13"/>
      <c r="B35" s="13"/>
      <c r="C35" s="13"/>
      <c r="D35" s="13"/>
      <c r="E35" s="13"/>
      <c r="F35" s="74" t="s">
        <v>0</v>
      </c>
      <c r="G35" s="74"/>
      <c r="H35" s="13"/>
      <c r="I35" s="13"/>
      <c r="J35" s="13"/>
      <c r="K35" s="13"/>
      <c r="L35" s="13"/>
      <c r="M35" s="13"/>
      <c r="N35" s="13"/>
    </row>
    <row r="36" spans="1:14" ht="27" thickBot="1">
      <c r="A36" s="75" t="s">
        <v>0</v>
      </c>
      <c r="B36" s="13"/>
      <c r="C36" s="13"/>
      <c r="D36" s="13"/>
      <c r="E36" s="25" t="s">
        <v>137</v>
      </c>
      <c r="F36" s="25"/>
      <c r="G36" s="334">
        <f>(+E34+L34)/2</f>
        <v>8.77</v>
      </c>
      <c r="H36" s="323">
        <f>(+F34+M34)/2</f>
        <v>0.1167</v>
      </c>
      <c r="N36" s="13"/>
    </row>
    <row r="37" spans="1:14" ht="26.25">
      <c r="A37" s="75"/>
      <c r="B37" s="13"/>
      <c r="C37" s="13"/>
      <c r="D37" s="13"/>
      <c r="E37" s="25"/>
      <c r="F37" s="25"/>
      <c r="G37" s="289"/>
      <c r="H37" s="290"/>
      <c r="N37" s="13"/>
    </row>
    <row r="38" spans="1:14" ht="16.5">
      <c r="A38" s="75" t="s">
        <v>71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6.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6.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</sheetData>
  <pageMargins left="0.25" right="0.25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AAB1-5671-4283-A0D0-11DDA5DBBF04}">
  <sheetPr>
    <tabColor rgb="FF92D050"/>
  </sheetPr>
  <dimension ref="A1:O67"/>
  <sheetViews>
    <sheetView view="pageBreakPreview" zoomScale="60" zoomScaleNormal="80" workbookViewId="0">
      <selection activeCell="E4" sqref="E4"/>
    </sheetView>
  </sheetViews>
  <sheetFormatPr defaultRowHeight="15"/>
  <cols>
    <col min="1" max="1" width="44.140625" customWidth="1"/>
    <col min="2" max="2" width="14.42578125" customWidth="1"/>
    <col min="3" max="3" width="12.28515625" bestFit="1" customWidth="1"/>
    <col min="4" max="4" width="23.7109375" customWidth="1"/>
    <col min="5" max="5" width="21.28515625" customWidth="1"/>
    <col min="6" max="6" width="19" customWidth="1"/>
    <col min="7" max="7" width="16.42578125" customWidth="1"/>
    <col min="8" max="10" width="19.28515625" customWidth="1"/>
    <col min="11" max="12" width="21.5703125" customWidth="1"/>
    <col min="13" max="13" width="18.28515625" customWidth="1"/>
  </cols>
  <sheetData>
    <row r="1" spans="1:15" ht="26.25">
      <c r="A1" s="25" t="s">
        <v>1</v>
      </c>
      <c r="B1" s="25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7.25">
      <c r="A2" s="63" t="s">
        <v>9</v>
      </c>
      <c r="B2" s="6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6.5">
      <c r="A3" s="27" t="s">
        <v>485</v>
      </c>
      <c r="B3" s="4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6.5">
      <c r="A4" s="13"/>
      <c r="B4" s="13"/>
      <c r="C4" s="13"/>
      <c r="D4" s="13"/>
      <c r="E4" s="488" t="s">
        <v>0</v>
      </c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8" thickBot="1">
      <c r="A5" s="63"/>
      <c r="B5" s="6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21" thickBot="1">
      <c r="A6" s="237" t="str">
        <f>+'S&amp;D'!A12</f>
        <v>Natural Gas Utility Distribution</v>
      </c>
      <c r="B6" s="240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8" thickBot="1">
      <c r="A7" s="63"/>
      <c r="B7" s="63"/>
      <c r="C7" s="30"/>
      <c r="D7" s="30"/>
      <c r="E7" s="30"/>
      <c r="F7" s="30"/>
      <c r="G7" s="30"/>
      <c r="H7" s="13"/>
      <c r="I7" s="30"/>
      <c r="J7" s="30"/>
      <c r="K7" s="30"/>
      <c r="L7" s="30"/>
      <c r="M7" s="30"/>
      <c r="N7" s="13"/>
      <c r="O7" s="13"/>
    </row>
    <row r="8" spans="1:15" ht="26.25">
      <c r="B8" s="31"/>
      <c r="C8" s="13"/>
      <c r="D8" s="13"/>
      <c r="E8" s="32" t="s">
        <v>243</v>
      </c>
      <c r="F8" s="13"/>
      <c r="G8" s="13"/>
      <c r="H8" s="13"/>
      <c r="I8" s="13"/>
      <c r="J8" s="13"/>
      <c r="K8" s="32" t="s">
        <v>244</v>
      </c>
      <c r="L8" s="13"/>
      <c r="M8" s="13"/>
      <c r="N8" s="13"/>
      <c r="O8" s="13"/>
    </row>
    <row r="9" spans="1:15" ht="21" thickBot="1">
      <c r="A9" s="31"/>
      <c r="B9" s="31"/>
      <c r="C9" s="30"/>
      <c r="D9" s="30"/>
      <c r="E9" s="37" t="s">
        <v>498</v>
      </c>
      <c r="F9" s="30"/>
      <c r="G9" s="30"/>
      <c r="H9" s="13"/>
      <c r="I9" s="30"/>
      <c r="J9" s="30"/>
      <c r="K9" s="37" t="s">
        <v>498</v>
      </c>
      <c r="L9" s="30"/>
      <c r="M9" s="30"/>
      <c r="N9" s="13"/>
      <c r="O9" s="13"/>
    </row>
    <row r="10" spans="1:15" ht="17.25" thickBot="1">
      <c r="A10" s="34" t="s">
        <v>0</v>
      </c>
      <c r="B10" s="34"/>
      <c r="C10" s="34" t="s">
        <v>0</v>
      </c>
      <c r="D10" s="34" t="s">
        <v>0</v>
      </c>
      <c r="E10" s="34" t="s">
        <v>0</v>
      </c>
      <c r="F10" s="34" t="s">
        <v>0</v>
      </c>
      <c r="G10" s="34" t="s">
        <v>0</v>
      </c>
      <c r="H10" s="13"/>
      <c r="I10" s="30"/>
      <c r="J10" s="30"/>
      <c r="K10" s="30"/>
      <c r="L10" s="30"/>
      <c r="M10" s="30"/>
      <c r="N10" s="13"/>
      <c r="O10" s="13"/>
    </row>
    <row r="11" spans="1:15" ht="16.5">
      <c r="A11" s="35" t="s">
        <v>0</v>
      </c>
      <c r="B11" s="35"/>
      <c r="C11" s="35" t="s">
        <v>3</v>
      </c>
      <c r="D11" s="35" t="s">
        <v>0</v>
      </c>
      <c r="E11" s="35" t="s">
        <v>129</v>
      </c>
      <c r="F11" s="35" t="s">
        <v>129</v>
      </c>
      <c r="G11" s="35" t="s">
        <v>27</v>
      </c>
      <c r="H11" s="13"/>
      <c r="I11" s="35" t="s">
        <v>3</v>
      </c>
      <c r="J11" s="35" t="s">
        <v>0</v>
      </c>
      <c r="K11" s="35" t="s">
        <v>129</v>
      </c>
      <c r="L11" s="35" t="s">
        <v>129</v>
      </c>
      <c r="M11" s="35" t="s">
        <v>27</v>
      </c>
      <c r="N11" s="13"/>
      <c r="O11" s="13"/>
    </row>
    <row r="12" spans="1:15" ht="17.25" thickBot="1">
      <c r="A12" s="37" t="s">
        <v>2</v>
      </c>
      <c r="B12" s="37"/>
      <c r="C12" s="37" t="s">
        <v>4</v>
      </c>
      <c r="D12" s="37" t="s">
        <v>28</v>
      </c>
      <c r="E12" s="37" t="s">
        <v>182</v>
      </c>
      <c r="F12" s="37" t="s">
        <v>29</v>
      </c>
      <c r="G12" s="37" t="s">
        <v>30</v>
      </c>
      <c r="H12" s="13"/>
      <c r="I12" s="37" t="s">
        <v>4</v>
      </c>
      <c r="J12" s="37" t="s">
        <v>28</v>
      </c>
      <c r="K12" s="37" t="s">
        <v>182</v>
      </c>
      <c r="L12" s="37" t="s">
        <v>29</v>
      </c>
      <c r="M12" s="37" t="s">
        <v>30</v>
      </c>
      <c r="N12" s="13"/>
      <c r="O12" s="13"/>
    </row>
    <row r="13" spans="1:15" ht="16.5">
      <c r="A13" s="39" t="s">
        <v>0</v>
      </c>
      <c r="B13" s="39"/>
      <c r="C13" s="39" t="s">
        <v>0</v>
      </c>
      <c r="D13" s="40" t="s">
        <v>131</v>
      </c>
      <c r="E13" s="76" t="s">
        <v>132</v>
      </c>
      <c r="F13" s="39" t="s">
        <v>0</v>
      </c>
      <c r="G13" s="39" t="s">
        <v>0</v>
      </c>
      <c r="H13" s="13"/>
      <c r="I13" s="39" t="s">
        <v>0</v>
      </c>
      <c r="J13" s="40" t="s">
        <v>131</v>
      </c>
      <c r="K13" s="76" t="s">
        <v>130</v>
      </c>
      <c r="L13" s="39" t="s">
        <v>0</v>
      </c>
      <c r="M13" s="39" t="s">
        <v>0</v>
      </c>
      <c r="N13" s="13"/>
      <c r="O13" s="13"/>
    </row>
    <row r="14" spans="1:15" ht="16.5">
      <c r="A14" s="35"/>
      <c r="B14" s="35"/>
      <c r="C14" s="35"/>
      <c r="D14" s="35"/>
      <c r="E14" s="35"/>
      <c r="F14" s="35"/>
      <c r="G14" s="35"/>
      <c r="H14" s="13"/>
      <c r="I14" s="35"/>
      <c r="J14" s="35"/>
      <c r="K14" s="35"/>
      <c r="L14" s="35"/>
      <c r="M14" s="35"/>
      <c r="N14" s="13"/>
      <c r="O14" s="13"/>
    </row>
    <row r="15" spans="1:15" ht="16.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17.25">
      <c r="A16" s="44" t="str">
        <f>+'S&amp;D'!A22</f>
        <v>Atmos Energy Corp</v>
      </c>
      <c r="B16" s="44"/>
      <c r="C16" s="35" t="str">
        <f>+'S&amp;D'!B22</f>
        <v>ATO</v>
      </c>
      <c r="D16" s="60">
        <f>'S&amp;D'!G22</f>
        <v>167.63</v>
      </c>
      <c r="E16" s="62">
        <f>+Earnings!E16</f>
        <v>8.15</v>
      </c>
      <c r="F16" s="70">
        <f>D16/E16</f>
        <v>20.568098159509201</v>
      </c>
      <c r="G16" s="57">
        <f t="shared" ref="G16:G25" si="0">1/F16</f>
        <v>4.8618982282407686E-2</v>
      </c>
      <c r="H16" s="13"/>
      <c r="I16" s="35" t="s">
        <v>45</v>
      </c>
      <c r="J16" s="60">
        <f>+D16</f>
        <v>167.63</v>
      </c>
      <c r="K16" s="62">
        <f>+Earnings!G16</f>
        <v>8.75</v>
      </c>
      <c r="L16" s="70">
        <f>J16/K16</f>
        <v>19.157714285714285</v>
      </c>
      <c r="M16" s="57">
        <f t="shared" ref="M16:M25" si="1">1/L16</f>
        <v>5.2198293861480644E-2</v>
      </c>
      <c r="N16" s="13"/>
      <c r="O16" s="13"/>
    </row>
    <row r="17" spans="1:15" ht="17.25">
      <c r="A17" s="44" t="str">
        <f>+'S&amp;D'!A23</f>
        <v>Black Hills Corporation</v>
      </c>
      <c r="B17" s="44"/>
      <c r="C17" s="35" t="str">
        <f>+'S&amp;D'!B23</f>
        <v>BKH</v>
      </c>
      <c r="D17" s="60">
        <f>'S&amp;D'!G23</f>
        <v>69.42</v>
      </c>
      <c r="E17" s="62">
        <f>+Earnings!E17</f>
        <v>4.3</v>
      </c>
      <c r="F17" s="70">
        <f t="shared" ref="F17:F25" si="2">D17/E17</f>
        <v>16.144186046511628</v>
      </c>
      <c r="G17" s="57">
        <f t="shared" si="0"/>
        <v>6.1941803514837225E-2</v>
      </c>
      <c r="H17" s="13"/>
      <c r="I17" s="35" t="s">
        <v>46</v>
      </c>
      <c r="J17" s="60">
        <f t="shared" ref="J17:J25" si="3">+D17</f>
        <v>69.42</v>
      </c>
      <c r="K17" s="62">
        <f>+Earnings!G17</f>
        <v>4.5</v>
      </c>
      <c r="L17" s="70">
        <f t="shared" ref="L17:L25" si="4">J17/K17</f>
        <v>15.426666666666668</v>
      </c>
      <c r="M17" s="57">
        <f t="shared" si="1"/>
        <v>6.482281763180639E-2</v>
      </c>
      <c r="N17" s="13"/>
      <c r="O17" s="13"/>
    </row>
    <row r="18" spans="1:15" ht="17.25">
      <c r="A18" s="44" t="str">
        <f>+'S&amp;D'!A24</f>
        <v>CenterPoint Energy Inc.</v>
      </c>
      <c r="B18" s="44"/>
      <c r="C18" s="35" t="str">
        <f>+'S&amp;D'!B24</f>
        <v>CNP</v>
      </c>
      <c r="D18" s="60">
        <f>'S&amp;D'!G24</f>
        <v>38.340000000000003</v>
      </c>
      <c r="E18" s="62">
        <f>+Earnings!E18</f>
        <v>1.9</v>
      </c>
      <c r="F18" s="70">
        <f t="shared" si="2"/>
        <v>20.178947368421056</v>
      </c>
      <c r="G18" s="57">
        <f t="shared" si="0"/>
        <v>4.9556598852373492E-2</v>
      </c>
      <c r="H18" s="13"/>
      <c r="I18" s="35" t="s">
        <v>50</v>
      </c>
      <c r="J18" s="60">
        <f t="shared" si="3"/>
        <v>38.340000000000003</v>
      </c>
      <c r="K18" s="62">
        <f>+Earnings!G18</f>
        <v>2.1</v>
      </c>
      <c r="L18" s="70">
        <f t="shared" si="4"/>
        <v>18.257142857142856</v>
      </c>
      <c r="M18" s="57">
        <f t="shared" si="1"/>
        <v>5.4773082942097026E-2</v>
      </c>
      <c r="N18" s="13"/>
      <c r="O18" s="13"/>
    </row>
    <row r="19" spans="1:15" ht="17.25">
      <c r="A19" s="44" t="str">
        <f>+'S&amp;D'!A25</f>
        <v>CMS Energy Corporation</v>
      </c>
      <c r="B19" s="44"/>
      <c r="C19" s="35" t="str">
        <f>+'S&amp;D'!B25</f>
        <v>CMS</v>
      </c>
      <c r="D19" s="60">
        <f>'S&amp;D'!G25</f>
        <v>69.930000000000007</v>
      </c>
      <c r="E19" s="62">
        <f>+Earnings!E19</f>
        <v>3.8</v>
      </c>
      <c r="F19" s="70">
        <f>D19/E19</f>
        <v>18.402631578947371</v>
      </c>
      <c r="G19" s="57">
        <f t="shared" si="0"/>
        <v>5.4340054340054331E-2</v>
      </c>
      <c r="H19" s="13"/>
      <c r="I19" s="35" t="s">
        <v>51</v>
      </c>
      <c r="J19" s="60">
        <f t="shared" si="3"/>
        <v>69.930000000000007</v>
      </c>
      <c r="K19" s="62">
        <f>+Earnings!G19</f>
        <v>4.0999999999999996</v>
      </c>
      <c r="L19" s="70">
        <f t="shared" si="4"/>
        <v>17.056097560975612</v>
      </c>
      <c r="M19" s="57">
        <f t="shared" si="1"/>
        <v>5.8630058630058622E-2</v>
      </c>
      <c r="N19" s="13"/>
      <c r="O19" s="13"/>
    </row>
    <row r="20" spans="1:15" ht="17.25">
      <c r="A20" s="44" t="str">
        <f>+'S&amp;D'!A26</f>
        <v>New Jersey Resources Corp</v>
      </c>
      <c r="B20" s="44"/>
      <c r="C20" s="35" t="str">
        <f>+'S&amp;D'!B26</f>
        <v>NJR</v>
      </c>
      <c r="D20" s="60">
        <f>'S&amp;D'!G26</f>
        <v>46.12</v>
      </c>
      <c r="E20" s="62">
        <f>+Earnings!E20</f>
        <v>3.4</v>
      </c>
      <c r="F20" s="70">
        <f t="shared" si="2"/>
        <v>13.564705882352941</v>
      </c>
      <c r="G20" s="57">
        <f t="shared" si="0"/>
        <v>7.3720728534258456E-2</v>
      </c>
      <c r="H20" s="13"/>
      <c r="I20" s="35" t="s">
        <v>47</v>
      </c>
      <c r="J20" s="60">
        <f t="shared" si="3"/>
        <v>46.12</v>
      </c>
      <c r="K20" s="62">
        <f>+Earnings!G20</f>
        <v>3.6</v>
      </c>
      <c r="L20" s="70">
        <f t="shared" si="4"/>
        <v>12.81111111111111</v>
      </c>
      <c r="M20" s="57">
        <f t="shared" si="1"/>
        <v>7.8057241977450134E-2</v>
      </c>
      <c r="N20" s="13"/>
      <c r="O20" s="13"/>
    </row>
    <row r="21" spans="1:15" ht="17.25">
      <c r="A21" s="44" t="str">
        <f>+'S&amp;D'!A27</f>
        <v>NISOURCE Inc.</v>
      </c>
      <c r="B21" s="44"/>
      <c r="C21" s="35" t="str">
        <f>+'S&amp;D'!B27</f>
        <v>NI</v>
      </c>
      <c r="D21" s="60">
        <f>'S&amp;D'!G27</f>
        <v>41.76</v>
      </c>
      <c r="E21" s="62">
        <f>+Earnings!E21</f>
        <v>2.0499999999999998</v>
      </c>
      <c r="F21" s="70">
        <f t="shared" si="2"/>
        <v>20.370731707317074</v>
      </c>
      <c r="G21" s="57">
        <f t="shared" si="0"/>
        <v>4.9090038314176243E-2</v>
      </c>
      <c r="H21" s="13"/>
      <c r="I21" s="35" t="s">
        <v>48</v>
      </c>
      <c r="J21" s="60">
        <f t="shared" si="3"/>
        <v>41.76</v>
      </c>
      <c r="K21" s="62">
        <f>+Earnings!G21</f>
        <v>2.2000000000000002</v>
      </c>
      <c r="L21" s="70">
        <f t="shared" si="4"/>
        <v>18.981818181818181</v>
      </c>
      <c r="M21" s="57">
        <f t="shared" si="1"/>
        <v>5.2681992337164751E-2</v>
      </c>
      <c r="N21" s="13"/>
      <c r="O21" s="13"/>
    </row>
    <row r="22" spans="1:15" ht="17.25">
      <c r="A22" s="44" t="str">
        <f>+'S&amp;D'!A28</f>
        <v xml:space="preserve">Northwest Natural Holding Company </v>
      </c>
      <c r="B22" s="44"/>
      <c r="C22" s="35" t="str">
        <f>+'S&amp;D'!B28</f>
        <v>NWN</v>
      </c>
      <c r="D22" s="60">
        <f>'S&amp;D'!G28</f>
        <v>46.74</v>
      </c>
      <c r="E22" s="62">
        <f>+Earnings!E22</f>
        <v>3</v>
      </c>
      <c r="F22" s="70">
        <f t="shared" si="2"/>
        <v>15.58</v>
      </c>
      <c r="G22" s="57">
        <f t="shared" si="0"/>
        <v>6.4184852374839535E-2</v>
      </c>
      <c r="H22" s="13"/>
      <c r="I22" s="35" t="s">
        <v>58</v>
      </c>
      <c r="J22" s="60">
        <f t="shared" si="3"/>
        <v>46.74</v>
      </c>
      <c r="K22" s="62">
        <f>+Earnings!G22</f>
        <v>3.15</v>
      </c>
      <c r="L22" s="70">
        <f t="shared" si="4"/>
        <v>14.838095238095239</v>
      </c>
      <c r="M22" s="57">
        <f t="shared" si="1"/>
        <v>6.739409499358151E-2</v>
      </c>
      <c r="N22" s="13"/>
      <c r="O22" s="13"/>
    </row>
    <row r="23" spans="1:15" ht="17.25">
      <c r="A23" s="44" t="str">
        <f>+'S&amp;D'!A29</f>
        <v>One Gas INC</v>
      </c>
      <c r="B23" s="44"/>
      <c r="C23" s="35" t="str">
        <f>+'S&amp;D'!B29</f>
        <v>OGS</v>
      </c>
      <c r="D23" s="60">
        <f>'S&amp;D'!G29</f>
        <v>77.25</v>
      </c>
      <c r="E23" s="62">
        <f>+Earnings!E23</f>
        <v>4.6500000000000004</v>
      </c>
      <c r="F23" s="70">
        <f t="shared" si="2"/>
        <v>16.612903225806452</v>
      </c>
      <c r="G23" s="57">
        <f t="shared" si="0"/>
        <v>6.0194174757281553E-2</v>
      </c>
      <c r="H23" s="13"/>
      <c r="I23" s="35" t="s">
        <v>59</v>
      </c>
      <c r="J23" s="60">
        <f>+D23</f>
        <v>77.25</v>
      </c>
      <c r="K23" s="62">
        <f>+Earnings!G23</f>
        <v>4.95</v>
      </c>
      <c r="L23" s="70">
        <f>J23/K23</f>
        <v>15.606060606060606</v>
      </c>
      <c r="M23" s="57">
        <f t="shared" si="1"/>
        <v>6.4077669902912623E-2</v>
      </c>
      <c r="N23" s="13"/>
      <c r="O23" s="13"/>
    </row>
    <row r="24" spans="1:15" ht="17.25">
      <c r="A24" s="44" t="str">
        <f>+'S&amp;D'!A30</f>
        <v>Southwest Gas Holdings, Inc</v>
      </c>
      <c r="B24" s="44"/>
      <c r="C24" s="35" t="str">
        <f>+'S&amp;D'!B30</f>
        <v>SWX</v>
      </c>
      <c r="D24" s="60">
        <f>'S&amp;D'!G30</f>
        <v>80.02</v>
      </c>
      <c r="E24" s="62">
        <f>+Earnings!E24</f>
        <v>4.0999999999999996</v>
      </c>
      <c r="F24" s="70">
        <f t="shared" si="2"/>
        <v>19.51707317073171</v>
      </c>
      <c r="G24" s="57">
        <f t="shared" si="0"/>
        <v>5.1237190702324416E-2</v>
      </c>
      <c r="H24" s="13"/>
      <c r="I24" s="35" t="str">
        <f>+C24</f>
        <v>SWX</v>
      </c>
      <c r="J24" s="60">
        <f>+D24</f>
        <v>80.02</v>
      </c>
      <c r="K24" s="62">
        <f>+Earnings!G24</f>
        <v>4.45</v>
      </c>
      <c r="L24" s="70">
        <f>J24/K24</f>
        <v>17.98202247191011</v>
      </c>
      <c r="M24" s="57">
        <f>1/L24</f>
        <v>5.5611097225693587E-2</v>
      </c>
      <c r="N24" s="13"/>
      <c r="O24" s="13"/>
    </row>
    <row r="25" spans="1:15" ht="17.25">
      <c r="A25" s="44" t="str">
        <f>+'S&amp;D'!A31</f>
        <v>Spire Inc / Laclede Group Inc</v>
      </c>
      <c r="B25" s="44"/>
      <c r="C25" s="35" t="str">
        <f>+'S&amp;D'!B31</f>
        <v>SR</v>
      </c>
      <c r="D25" s="60">
        <f>'S&amp;D'!G31</f>
        <v>82.7</v>
      </c>
      <c r="E25" s="62">
        <f>+Earnings!E25</f>
        <v>5.35</v>
      </c>
      <c r="F25" s="70">
        <f t="shared" si="2"/>
        <v>15.457943925233646</v>
      </c>
      <c r="G25" s="57">
        <f t="shared" si="0"/>
        <v>6.4691656590084634E-2</v>
      </c>
      <c r="H25" s="13"/>
      <c r="I25" s="35" t="s">
        <v>62</v>
      </c>
      <c r="J25" s="60">
        <f t="shared" si="3"/>
        <v>82.7</v>
      </c>
      <c r="K25" s="62">
        <f>+Earnings!G25</f>
        <v>5.75</v>
      </c>
      <c r="L25" s="70">
        <f t="shared" si="4"/>
        <v>14.382608695652175</v>
      </c>
      <c r="M25" s="57">
        <f t="shared" si="1"/>
        <v>6.952841596130592E-2</v>
      </c>
      <c r="N25" s="13"/>
      <c r="O25" s="13"/>
    </row>
    <row r="26" spans="1:15" ht="17.25">
      <c r="A26" s="44" t="str">
        <f>+'S&amp;D'!A32</f>
        <v>WEC Energy Group</v>
      </c>
      <c r="B26" s="44"/>
      <c r="C26" s="35" t="str">
        <f>+'S&amp;D'!B32</f>
        <v>WEC</v>
      </c>
      <c r="D26" s="60">
        <f>'S&amp;D'!G32</f>
        <v>105.46</v>
      </c>
      <c r="E26" s="62">
        <f>+Earnings!E26</f>
        <v>5.6</v>
      </c>
      <c r="F26" s="70">
        <f>D26/E26</f>
        <v>18.832142857142856</v>
      </c>
      <c r="G26" s="57">
        <f>1/F26</f>
        <v>5.3100701687843734E-2</v>
      </c>
      <c r="I26" s="35" t="s">
        <v>49</v>
      </c>
      <c r="J26" s="60">
        <f>+D26</f>
        <v>105.46</v>
      </c>
      <c r="K26" s="62">
        <f>+Earnings!G26</f>
        <v>6</v>
      </c>
      <c r="L26" s="70">
        <f>J26/K26</f>
        <v>17.576666666666664</v>
      </c>
      <c r="M26" s="57">
        <f>1/L26</f>
        <v>5.6893608951261151E-2</v>
      </c>
      <c r="N26" s="13"/>
      <c r="O26" s="13"/>
    </row>
    <row r="27" spans="1:15" ht="18" thickBot="1">
      <c r="A27" s="13"/>
      <c r="B27" s="13"/>
      <c r="C27" s="71"/>
      <c r="D27" s="71"/>
      <c r="E27" s="71"/>
      <c r="F27" s="71"/>
      <c r="G27" s="71"/>
      <c r="H27" s="13"/>
      <c r="I27" s="71"/>
      <c r="J27" s="65" t="s">
        <v>0</v>
      </c>
      <c r="K27" s="71"/>
      <c r="L27" s="71"/>
      <c r="M27" s="71"/>
      <c r="N27" s="13"/>
      <c r="O27" s="13"/>
    </row>
    <row r="28" spans="1:15" ht="17.25" thickTop="1">
      <c r="A28" s="13"/>
      <c r="B28" s="13"/>
      <c r="D28" s="15" t="s">
        <v>56</v>
      </c>
      <c r="E28" s="277">
        <f>MAX(E16:E26)</f>
        <v>8.15</v>
      </c>
      <c r="F28" s="277">
        <f t="shared" ref="F28:G28" si="5">MAX(F16:F26)</f>
        <v>20.568098159509201</v>
      </c>
      <c r="G28" s="266">
        <f t="shared" si="5"/>
        <v>7.3720728534258456E-2</v>
      </c>
      <c r="H28" s="13"/>
      <c r="J28" s="15" t="s">
        <v>56</v>
      </c>
      <c r="K28" s="277">
        <f t="shared" ref="K28:M28" si="6">MAX(K16:K26)</f>
        <v>8.75</v>
      </c>
      <c r="L28" s="277">
        <f t="shared" si="6"/>
        <v>19.157714285714285</v>
      </c>
      <c r="M28" s="266">
        <f t="shared" si="6"/>
        <v>7.8057241977450134E-2</v>
      </c>
      <c r="N28" s="13"/>
      <c r="O28" s="13"/>
    </row>
    <row r="29" spans="1:15" ht="16.5">
      <c r="A29" s="13"/>
      <c r="B29" s="13"/>
      <c r="D29" s="261" t="s">
        <v>57</v>
      </c>
      <c r="E29" s="281">
        <f>MIN(E16:E26)</f>
        <v>1.9</v>
      </c>
      <c r="F29" s="281">
        <f t="shared" ref="F29:G29" si="7">MIN(F16:F26)</f>
        <v>13.564705882352941</v>
      </c>
      <c r="G29" s="267">
        <f t="shared" si="7"/>
        <v>4.8618982282407686E-2</v>
      </c>
      <c r="H29" s="13"/>
      <c r="J29" s="261" t="s">
        <v>57</v>
      </c>
      <c r="K29" s="281">
        <f t="shared" ref="K29:M29" si="8">MIN(K16:K26)</f>
        <v>2.1</v>
      </c>
      <c r="L29" s="281">
        <f t="shared" si="8"/>
        <v>12.81111111111111</v>
      </c>
      <c r="M29" s="267">
        <f t="shared" si="8"/>
        <v>5.2198293861480644E-2</v>
      </c>
      <c r="N29" s="13"/>
      <c r="O29" s="13"/>
    </row>
    <row r="30" spans="1:15" ht="16.5">
      <c r="A30" s="13"/>
      <c r="B30" s="13"/>
      <c r="D30" s="15" t="s">
        <v>18</v>
      </c>
      <c r="E30" s="72">
        <f>MEDIAN(E16:E26)</f>
        <v>4.0999999999999996</v>
      </c>
      <c r="F30" s="22">
        <f>MEDIAN(F16:F26)</f>
        <v>18.402631578947371</v>
      </c>
      <c r="G30" s="57">
        <f>MEDIAN(G16:G26)</f>
        <v>5.4340054340054331E-2</v>
      </c>
      <c r="H30" s="13"/>
      <c r="J30" s="15" t="s">
        <v>18</v>
      </c>
      <c r="K30" s="72">
        <f>MEDIAN(K16:K26)</f>
        <v>4.45</v>
      </c>
      <c r="L30" s="22">
        <f>MEDIAN(L16:L26)</f>
        <v>17.056097560975612</v>
      </c>
      <c r="M30" s="57">
        <f>MEDIAN(M16:M26)</f>
        <v>5.8630058630058622E-2</v>
      </c>
      <c r="N30" s="13"/>
      <c r="O30" s="13"/>
    </row>
    <row r="31" spans="1:15" ht="16.5">
      <c r="A31" s="13"/>
      <c r="B31" s="13"/>
      <c r="D31" s="15" t="s">
        <v>413</v>
      </c>
      <c r="E31" s="18">
        <f>AVERAGE(E16:E26)</f>
        <v>4.2090909090909099</v>
      </c>
      <c r="F31" s="22">
        <f>AVERAGE(F16:F26)</f>
        <v>17.748123992906724</v>
      </c>
      <c r="G31" s="73">
        <f>AVERAGE(G16:G26)</f>
        <v>5.7334252904589204E-2</v>
      </c>
      <c r="H31" s="13"/>
      <c r="J31" s="15" t="s">
        <v>413</v>
      </c>
      <c r="K31" s="18">
        <f>AVERAGE(K16:K26)</f>
        <v>4.5045454545454549</v>
      </c>
      <c r="L31" s="22">
        <f>AVERAGE(L16:L26)</f>
        <v>16.552364031073953</v>
      </c>
      <c r="M31" s="73">
        <f>AVERAGE(M16:M26)</f>
        <v>6.1333488583164765E-2</v>
      </c>
      <c r="N31" s="13"/>
      <c r="O31" s="13"/>
    </row>
    <row r="32" spans="1:15" ht="16.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ht="26.25">
      <c r="A33" s="13"/>
      <c r="B33" s="13"/>
      <c r="C33" s="13"/>
      <c r="D33" s="13"/>
      <c r="E33" s="77" t="s">
        <v>92</v>
      </c>
      <c r="F33" s="286">
        <v>17.75</v>
      </c>
      <c r="G33" s="287">
        <v>5.7299999999999997E-2</v>
      </c>
      <c r="H33" s="13"/>
      <c r="I33" s="13"/>
      <c r="J33" s="13"/>
      <c r="K33" s="77" t="s">
        <v>92</v>
      </c>
      <c r="L33" s="288">
        <v>16.55</v>
      </c>
      <c r="M33" s="287">
        <v>6.13E-2</v>
      </c>
      <c r="N33" s="13"/>
      <c r="O33" s="13"/>
    </row>
    <row r="34" spans="1:15" ht="16.5">
      <c r="A34" s="13"/>
      <c r="B34" s="13"/>
      <c r="C34" s="13"/>
      <c r="D34" s="13"/>
      <c r="E34" s="13"/>
      <c r="F34" s="13"/>
      <c r="K34" s="13"/>
      <c r="L34" s="13"/>
      <c r="M34" s="13"/>
      <c r="N34" s="13"/>
      <c r="O34" s="13"/>
    </row>
    <row r="35" spans="1:15" ht="16.5">
      <c r="A35" s="13"/>
      <c r="B35" s="13"/>
      <c r="C35" s="13"/>
      <c r="D35" s="13"/>
      <c r="E35" s="13"/>
      <c r="F35" s="13"/>
      <c r="K35" s="13"/>
      <c r="L35" s="13"/>
      <c r="M35" s="13"/>
      <c r="N35" s="13"/>
      <c r="O35" s="13"/>
    </row>
    <row r="36" spans="1:15" ht="17.25" thickBot="1">
      <c r="A36" s="13"/>
      <c r="B36" s="13"/>
      <c r="C36" s="13"/>
      <c r="D36" s="13"/>
      <c r="E36" s="13"/>
      <c r="F36" s="13"/>
      <c r="K36" s="13"/>
      <c r="L36" s="13"/>
      <c r="M36" s="13"/>
      <c r="N36" s="13"/>
      <c r="O36" s="13"/>
    </row>
    <row r="37" spans="1:15" ht="30.75" customHeight="1" thickBot="1">
      <c r="A37" s="75" t="s">
        <v>0</v>
      </c>
      <c r="B37" s="75"/>
      <c r="C37" s="13"/>
      <c r="D37" s="13"/>
      <c r="E37" s="13"/>
      <c r="F37" s="13"/>
      <c r="G37" s="25" t="s">
        <v>137</v>
      </c>
      <c r="H37" s="13"/>
      <c r="I37" s="198">
        <f>(+F33+L33)/2</f>
        <v>17.149999999999999</v>
      </c>
      <c r="J37" s="199">
        <f>(+G33+M33)/2</f>
        <v>5.9299999999999999E-2</v>
      </c>
      <c r="N37" s="13"/>
      <c r="O37" s="13"/>
    </row>
    <row r="38" spans="1:15" ht="16.5">
      <c r="A38" s="75" t="s">
        <v>0</v>
      </c>
      <c r="B38" s="75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ht="16.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ht="16.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ht="15.75" thickBot="1">
      <c r="B41" s="147"/>
      <c r="C41" s="147"/>
      <c r="D41" s="147"/>
      <c r="E41" s="147"/>
      <c r="F41" s="147"/>
      <c r="G41" s="147"/>
      <c r="H41" s="147"/>
    </row>
    <row r="42" spans="1:15" ht="26.25">
      <c r="B42" s="31"/>
      <c r="C42" s="13"/>
      <c r="D42" s="13"/>
      <c r="E42" s="32" t="s">
        <v>412</v>
      </c>
      <c r="F42" s="13"/>
      <c r="G42" s="13"/>
    </row>
    <row r="43" spans="1:15" ht="21" thickBot="1">
      <c r="A43" s="31"/>
      <c r="B43" s="148"/>
      <c r="C43" s="30"/>
      <c r="D43" s="30"/>
      <c r="E43" s="37" t="s">
        <v>498</v>
      </c>
      <c r="F43" s="30"/>
      <c r="G43" s="30"/>
      <c r="H43" s="147"/>
    </row>
    <row r="44" spans="1:15" ht="15.75" thickBot="1">
      <c r="A44" s="34" t="s">
        <v>0</v>
      </c>
      <c r="B44" s="34"/>
      <c r="C44" s="34" t="s">
        <v>0</v>
      </c>
      <c r="D44" s="34" t="s">
        <v>0</v>
      </c>
      <c r="E44" s="34" t="s">
        <v>0</v>
      </c>
      <c r="F44" s="34" t="s">
        <v>0</v>
      </c>
      <c r="G44" s="34" t="s">
        <v>0</v>
      </c>
    </row>
    <row r="45" spans="1:15" ht="16.5">
      <c r="A45" s="35" t="s">
        <v>0</v>
      </c>
      <c r="B45" s="35"/>
      <c r="C45" s="35" t="s">
        <v>3</v>
      </c>
      <c r="D45" s="35" t="s">
        <v>350</v>
      </c>
      <c r="E45" s="35" t="s">
        <v>351</v>
      </c>
      <c r="F45" s="35" t="s">
        <v>129</v>
      </c>
      <c r="G45" s="35" t="s">
        <v>27</v>
      </c>
    </row>
    <row r="46" spans="1:15" ht="17.25" thickBot="1">
      <c r="A46" s="37" t="s">
        <v>2</v>
      </c>
      <c r="B46" s="37"/>
      <c r="C46" s="37" t="s">
        <v>4</v>
      </c>
      <c r="D46" s="37" t="s">
        <v>28</v>
      </c>
      <c r="E46" s="37" t="s">
        <v>177</v>
      </c>
      <c r="F46" s="37" t="s">
        <v>29</v>
      </c>
      <c r="G46" s="37" t="s">
        <v>30</v>
      </c>
    </row>
    <row r="47" spans="1:15">
      <c r="A47" s="39" t="s">
        <v>0</v>
      </c>
      <c r="B47" s="39"/>
      <c r="C47" s="39" t="s">
        <v>0</v>
      </c>
      <c r="D47" s="40" t="s">
        <v>131</v>
      </c>
      <c r="E47" s="76" t="s">
        <v>249</v>
      </c>
      <c r="F47" s="39" t="s">
        <v>0</v>
      </c>
      <c r="G47" s="39" t="s">
        <v>0</v>
      </c>
    </row>
    <row r="48" spans="1:15" ht="16.5">
      <c r="A48" s="35"/>
      <c r="B48" s="35"/>
      <c r="C48" s="35"/>
      <c r="D48" s="35"/>
      <c r="E48" s="35"/>
      <c r="F48" s="35"/>
      <c r="G48" s="35"/>
    </row>
    <row r="49" spans="1:7" ht="16.5">
      <c r="A49" s="13"/>
      <c r="B49" s="13"/>
      <c r="C49" s="13"/>
      <c r="D49" s="13"/>
      <c r="E49" s="13"/>
      <c r="F49" s="13"/>
      <c r="G49" s="13"/>
    </row>
    <row r="50" spans="1:7" ht="17.25">
      <c r="A50" s="44" t="str">
        <f>+'S&amp;D'!A22</f>
        <v>Atmos Energy Corp</v>
      </c>
      <c r="B50" s="44"/>
      <c r="C50" s="35" t="str">
        <f>+'S&amp;D'!B22</f>
        <v>ATO</v>
      </c>
      <c r="D50" s="60">
        <f>'S&amp;D'!G22</f>
        <v>167.63</v>
      </c>
      <c r="E50" s="62">
        <f>+Earnings!I16</f>
        <v>10.7</v>
      </c>
      <c r="F50" s="70">
        <f>D50/E50</f>
        <v>15.666355140186916</v>
      </c>
      <c r="G50" s="57">
        <f t="shared" ref="G50:G60" si="9">1/F50</f>
        <v>6.3831056493467764E-2</v>
      </c>
    </row>
    <row r="51" spans="1:7" ht="17.25">
      <c r="A51" s="44" t="str">
        <f>+'S&amp;D'!A23</f>
        <v>Black Hills Corporation</v>
      </c>
      <c r="B51" s="44"/>
      <c r="C51" s="35" t="str">
        <f>+'S&amp;D'!B23</f>
        <v>BKH</v>
      </c>
      <c r="D51" s="60">
        <f>'S&amp;D'!G23</f>
        <v>69.42</v>
      </c>
      <c r="E51" s="62">
        <f>+Earnings!I17</f>
        <v>5</v>
      </c>
      <c r="F51" s="70">
        <f>D51/E51</f>
        <v>13.884</v>
      </c>
      <c r="G51" s="57">
        <f t="shared" si="9"/>
        <v>7.2025352924229333E-2</v>
      </c>
    </row>
    <row r="52" spans="1:7" ht="17.25">
      <c r="A52" s="44" t="str">
        <f>+'S&amp;D'!A24</f>
        <v>CenterPoint Energy Inc.</v>
      </c>
      <c r="B52" s="44"/>
      <c r="C52" s="35" t="str">
        <f>+'S&amp;D'!B24</f>
        <v>CNP</v>
      </c>
      <c r="D52" s="60">
        <f>'S&amp;D'!G24</f>
        <v>38.340000000000003</v>
      </c>
      <c r="E52" s="62">
        <f>+Earnings!I18</f>
        <v>2.4</v>
      </c>
      <c r="F52" s="70">
        <f>D52/E52</f>
        <v>15.975000000000001</v>
      </c>
      <c r="G52" s="57">
        <f t="shared" si="9"/>
        <v>6.2597809076682304E-2</v>
      </c>
    </row>
    <row r="53" spans="1:7" ht="17.25">
      <c r="A53" s="44" t="str">
        <f>+'S&amp;D'!A25</f>
        <v>CMS Energy Corporation</v>
      </c>
      <c r="B53" s="44"/>
      <c r="C53" s="35" t="str">
        <f>+'S&amp;D'!B25</f>
        <v>CMS</v>
      </c>
      <c r="D53" s="60">
        <f>'S&amp;D'!G25</f>
        <v>69.930000000000007</v>
      </c>
      <c r="E53" s="62">
        <f>+Earnings!I19</f>
        <v>5.15</v>
      </c>
      <c r="F53" s="70">
        <f>D53/E53</f>
        <v>13.578640776699029</v>
      </c>
      <c r="G53" s="57">
        <f t="shared" si="9"/>
        <v>7.3645073645073653E-2</v>
      </c>
    </row>
    <row r="54" spans="1:7" ht="17.25">
      <c r="A54" s="44" t="str">
        <f>+'S&amp;D'!A26</f>
        <v>New Jersey Resources Corp</v>
      </c>
      <c r="B54" s="44"/>
      <c r="C54" s="35" t="str">
        <f>+'S&amp;D'!B26</f>
        <v>NJR</v>
      </c>
      <c r="D54" s="60">
        <f>'S&amp;D'!G26</f>
        <v>46.12</v>
      </c>
      <c r="E54" s="62">
        <f>+Earnings!I20</f>
        <v>4</v>
      </c>
      <c r="F54" s="70">
        <f t="shared" ref="F54:F60" si="10">D54/E54</f>
        <v>11.53</v>
      </c>
      <c r="G54" s="57">
        <f t="shared" si="9"/>
        <v>8.6730268863833476E-2</v>
      </c>
    </row>
    <row r="55" spans="1:7" ht="17.25">
      <c r="A55" s="44" t="str">
        <f>+'S&amp;D'!A27</f>
        <v>NISOURCE Inc.</v>
      </c>
      <c r="B55" s="44"/>
      <c r="C55" s="35" t="str">
        <f>+'S&amp;D'!B27</f>
        <v>NI</v>
      </c>
      <c r="D55" s="60">
        <f>'S&amp;D'!G27</f>
        <v>41.76</v>
      </c>
      <c r="E55" s="62">
        <f>+Earnings!I21</f>
        <v>2.65</v>
      </c>
      <c r="F55" s="70">
        <f t="shared" si="10"/>
        <v>15.758490566037736</v>
      </c>
      <c r="G55" s="57">
        <f t="shared" si="9"/>
        <v>6.3457854406130262E-2</v>
      </c>
    </row>
    <row r="56" spans="1:7" ht="17.25">
      <c r="A56" s="44" t="str">
        <f>+'S&amp;D'!A28</f>
        <v xml:space="preserve">Northwest Natural Holding Company </v>
      </c>
      <c r="B56" s="44"/>
      <c r="C56" s="35" t="str">
        <f>+'S&amp;D'!B28</f>
        <v>NWN</v>
      </c>
      <c r="D56" s="60">
        <f>'S&amp;D'!G28</f>
        <v>46.74</v>
      </c>
      <c r="E56" s="62">
        <f>+Earnings!I22</f>
        <v>3.6</v>
      </c>
      <c r="F56" s="70">
        <f t="shared" si="10"/>
        <v>12.983333333333334</v>
      </c>
      <c r="G56" s="57">
        <f t="shared" si="9"/>
        <v>7.7021822849807436E-2</v>
      </c>
    </row>
    <row r="57" spans="1:7" ht="17.25">
      <c r="A57" s="44" t="str">
        <f>+'S&amp;D'!A29</f>
        <v>One Gas INC</v>
      </c>
      <c r="B57" s="44"/>
      <c r="C57" s="35" t="str">
        <f>+'S&amp;D'!B29</f>
        <v>OGS</v>
      </c>
      <c r="D57" s="60">
        <f>'S&amp;D'!G29</f>
        <v>77.25</v>
      </c>
      <c r="E57" s="62">
        <f>+Earnings!I23</f>
        <v>6</v>
      </c>
      <c r="F57" s="70">
        <f t="shared" si="10"/>
        <v>12.875</v>
      </c>
      <c r="G57" s="57">
        <f t="shared" si="9"/>
        <v>7.7669902912621352E-2</v>
      </c>
    </row>
    <row r="58" spans="1:7" ht="17.25">
      <c r="A58" s="44" t="str">
        <f>+'S&amp;D'!A30</f>
        <v>Southwest Gas Holdings, Inc</v>
      </c>
      <c r="B58" s="44"/>
      <c r="C58" s="35" t="str">
        <f>+'S&amp;D'!B30</f>
        <v>SWX</v>
      </c>
      <c r="D58" s="60">
        <f>'S&amp;D'!G30</f>
        <v>80.02</v>
      </c>
      <c r="E58" s="62">
        <f>+Earnings!I24</f>
        <v>5.65</v>
      </c>
      <c r="F58" s="70">
        <f t="shared" si="10"/>
        <v>14.162831858407078</v>
      </c>
      <c r="G58" s="57">
        <f t="shared" si="9"/>
        <v>7.0607348162959271E-2</v>
      </c>
    </row>
    <row r="59" spans="1:7" ht="17.25">
      <c r="A59" s="44" t="str">
        <f>+'S&amp;D'!A31</f>
        <v>Spire Inc / Laclede Group Inc</v>
      </c>
      <c r="B59" s="44"/>
      <c r="C59" s="35" t="str">
        <f>+'S&amp;D'!B31</f>
        <v>SR</v>
      </c>
      <c r="D59" s="60">
        <f>'S&amp;D'!G31</f>
        <v>82.7</v>
      </c>
      <c r="E59" s="62">
        <f>+Earnings!I25</f>
        <v>6.75</v>
      </c>
      <c r="F59" s="70">
        <f t="shared" si="10"/>
        <v>12.251851851851852</v>
      </c>
      <c r="G59" s="57">
        <f t="shared" si="9"/>
        <v>8.1620314389359128E-2</v>
      </c>
    </row>
    <row r="60" spans="1:7" ht="17.25">
      <c r="A60" s="44" t="str">
        <f>+'S&amp;D'!A32</f>
        <v>WEC Energy Group</v>
      </c>
      <c r="B60" s="44"/>
      <c r="C60" s="35" t="str">
        <f>+'S&amp;D'!B32</f>
        <v>WEC</v>
      </c>
      <c r="D60" s="60">
        <f>'S&amp;D'!G32</f>
        <v>105.46</v>
      </c>
      <c r="E60" s="62">
        <f>+Earnings!I26</f>
        <v>7.25</v>
      </c>
      <c r="F60" s="70">
        <f t="shared" si="10"/>
        <v>14.546206896551723</v>
      </c>
      <c r="G60" s="57">
        <f t="shared" si="9"/>
        <v>6.8746444149440547E-2</v>
      </c>
    </row>
    <row r="61" spans="1:7" ht="17.25" thickBot="1">
      <c r="A61" s="13"/>
      <c r="B61" s="13"/>
      <c r="C61" s="71"/>
      <c r="D61" s="71"/>
      <c r="E61" s="71"/>
      <c r="F61" s="71"/>
      <c r="G61" s="71"/>
    </row>
    <row r="62" spans="1:7" ht="17.25" thickTop="1">
      <c r="A62" s="13"/>
      <c r="B62" s="13"/>
      <c r="D62" s="15" t="s">
        <v>56</v>
      </c>
      <c r="E62" s="277">
        <f t="shared" ref="E62:G62" si="11">MAX(E50:E60)</f>
        <v>10.7</v>
      </c>
      <c r="F62" s="277">
        <f t="shared" si="11"/>
        <v>15.975000000000001</v>
      </c>
      <c r="G62" s="266">
        <f t="shared" si="11"/>
        <v>8.6730268863833476E-2</v>
      </c>
    </row>
    <row r="63" spans="1:7" ht="16.5">
      <c r="A63" s="13"/>
      <c r="B63" s="13"/>
      <c r="D63" s="15" t="s">
        <v>57</v>
      </c>
      <c r="E63" s="281">
        <f t="shared" ref="E63:G63" si="12">MIN(E50:E60)</f>
        <v>2.4</v>
      </c>
      <c r="F63" s="281">
        <f t="shared" si="12"/>
        <v>11.53</v>
      </c>
      <c r="G63" s="267">
        <f t="shared" si="12"/>
        <v>6.2597809076682304E-2</v>
      </c>
    </row>
    <row r="64" spans="1:7" ht="16.5">
      <c r="A64" s="13"/>
      <c r="B64" s="13"/>
      <c r="D64" s="15" t="s">
        <v>18</v>
      </c>
      <c r="E64" s="72">
        <f>MEDIAN(E50:E60)</f>
        <v>5.15</v>
      </c>
      <c r="F64" s="22">
        <f>MEDIAN(F50:F60)</f>
        <v>13.884</v>
      </c>
      <c r="G64" s="57">
        <f>MEDIAN(G50:G60)</f>
        <v>7.2025352924229333E-2</v>
      </c>
    </row>
    <row r="65" spans="1:7" ht="16.5">
      <c r="A65" s="13"/>
      <c r="B65" s="13"/>
      <c r="D65" s="15" t="s">
        <v>413</v>
      </c>
      <c r="E65" s="18">
        <f>AVERAGE(E50:E60)</f>
        <v>5.377272727272727</v>
      </c>
      <c r="F65" s="22">
        <f>AVERAGE(F50:F60)</f>
        <v>13.92833731118797</v>
      </c>
      <c r="G65" s="73">
        <f>AVERAGE(G50:G60)</f>
        <v>7.2541204352145866E-2</v>
      </c>
    </row>
    <row r="66" spans="1:7" ht="16.5">
      <c r="A66" s="13"/>
      <c r="B66" s="13"/>
      <c r="C66" s="13"/>
      <c r="D66" s="13"/>
      <c r="E66" s="13"/>
      <c r="F66" s="13"/>
      <c r="G66" s="13"/>
    </row>
    <row r="67" spans="1:7" ht="26.25">
      <c r="A67" s="13"/>
      <c r="B67" s="13"/>
      <c r="C67" s="13"/>
      <c r="D67" s="13"/>
      <c r="E67" s="77" t="s">
        <v>92</v>
      </c>
      <c r="F67" s="286">
        <v>13.93</v>
      </c>
      <c r="G67" s="287">
        <v>7.2499999999999995E-2</v>
      </c>
    </row>
  </sheetData>
  <pageMargins left="0.25" right="0.25" top="0.75" bottom="0.75" header="0.3" footer="0.3"/>
  <pageSetup scale="3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7DB25-4105-4ECC-8655-31692C149FA3}">
  <sheetPr>
    <tabColor rgb="FF92D050"/>
    <pageSetUpPr fitToPage="1"/>
  </sheetPr>
  <dimension ref="A1:J85"/>
  <sheetViews>
    <sheetView view="pageBreakPreview" topLeftCell="A74" zoomScale="60" zoomScaleNormal="80" workbookViewId="0">
      <selection activeCell="A76" sqref="A76"/>
    </sheetView>
  </sheetViews>
  <sheetFormatPr defaultRowHeight="15"/>
  <cols>
    <col min="1" max="1" width="78.140625" customWidth="1"/>
    <col min="2" max="2" width="21.7109375" customWidth="1"/>
    <col min="3" max="3" width="24.5703125" customWidth="1"/>
    <col min="4" max="4" width="29.42578125" customWidth="1"/>
    <col min="5" max="5" width="30.5703125" customWidth="1"/>
    <col min="6" max="6" width="32.140625" customWidth="1"/>
    <col min="7" max="7" width="27" customWidth="1"/>
    <col min="8" max="8" width="13.7109375" customWidth="1"/>
    <col min="9" max="9" width="13.85546875" customWidth="1"/>
    <col min="10" max="11" width="14.140625" bestFit="1" customWidth="1"/>
  </cols>
  <sheetData>
    <row r="1" spans="1:10" ht="26.25">
      <c r="A1" s="25" t="s">
        <v>1</v>
      </c>
      <c r="B1" s="25"/>
      <c r="C1" s="25"/>
      <c r="D1" s="13"/>
      <c r="E1" s="13"/>
      <c r="F1" s="13"/>
      <c r="G1" s="13"/>
      <c r="H1" s="13"/>
      <c r="I1" s="13"/>
      <c r="J1" s="13"/>
    </row>
    <row r="2" spans="1:10" ht="17.25">
      <c r="A2" s="26" t="s">
        <v>9</v>
      </c>
      <c r="B2" s="26"/>
      <c r="C2" s="26"/>
      <c r="D2" s="13"/>
      <c r="E2" s="13"/>
      <c r="F2" s="13"/>
      <c r="G2" s="13"/>
      <c r="H2" s="13"/>
      <c r="I2" s="13"/>
      <c r="J2" s="13"/>
    </row>
    <row r="3" spans="1:10" ht="16.5">
      <c r="A3" s="27" t="s">
        <v>485</v>
      </c>
      <c r="B3" s="27"/>
      <c r="C3" s="27"/>
      <c r="D3" s="13"/>
      <c r="E3" s="13"/>
      <c r="F3" s="13"/>
      <c r="G3" s="13"/>
      <c r="H3" s="13"/>
      <c r="I3" s="13"/>
      <c r="J3" s="13"/>
    </row>
    <row r="4" spans="1:10" ht="16.5">
      <c r="A4" s="27"/>
      <c r="B4" s="27"/>
      <c r="C4" s="27"/>
      <c r="D4" s="13"/>
      <c r="E4" s="13"/>
      <c r="F4" s="13"/>
      <c r="G4" s="13"/>
      <c r="H4" s="13"/>
      <c r="I4" s="13"/>
      <c r="J4" s="13"/>
    </row>
    <row r="5" spans="1:10" ht="17.25" thickBot="1">
      <c r="A5" s="13"/>
      <c r="B5" s="13"/>
      <c r="C5" s="13"/>
      <c r="D5" s="13"/>
      <c r="E5" s="13"/>
      <c r="F5" s="13"/>
      <c r="G5" s="13"/>
      <c r="H5" s="488" t="s">
        <v>0</v>
      </c>
      <c r="I5" s="28"/>
      <c r="J5" s="13"/>
    </row>
    <row r="6" spans="1:10" ht="21" thickBot="1">
      <c r="A6" s="29" t="str">
        <f>+'S&amp;D'!A12</f>
        <v>Natural Gas Utility Distribution</v>
      </c>
      <c r="B6" s="13"/>
      <c r="C6" s="13"/>
      <c r="D6" s="30"/>
      <c r="E6" s="30"/>
      <c r="F6" s="30"/>
      <c r="G6" s="13"/>
      <c r="H6" s="13"/>
      <c r="I6" s="13"/>
      <c r="J6" s="13"/>
    </row>
    <row r="7" spans="1:10" ht="26.25">
      <c r="B7" s="31"/>
      <c r="C7" s="31"/>
      <c r="D7" s="13"/>
      <c r="E7" s="32" t="s">
        <v>220</v>
      </c>
      <c r="F7" s="13"/>
      <c r="G7" s="13"/>
      <c r="H7" s="13"/>
      <c r="I7" s="13"/>
      <c r="J7" s="13"/>
    </row>
    <row r="8" spans="1:10" ht="21" thickBot="1">
      <c r="A8" s="31"/>
      <c r="B8" s="31"/>
      <c r="C8" s="31"/>
      <c r="D8" s="30"/>
      <c r="E8" s="37" t="s">
        <v>498</v>
      </c>
      <c r="F8" s="30"/>
      <c r="G8" s="13"/>
      <c r="H8" s="13"/>
      <c r="I8" s="13"/>
      <c r="J8" s="13"/>
    </row>
    <row r="9" spans="1:10" ht="20.25">
      <c r="A9" s="31"/>
      <c r="B9" s="31"/>
      <c r="C9" s="31"/>
      <c r="D9" s="13"/>
      <c r="E9" s="35"/>
      <c r="F9" s="13"/>
      <c r="G9" s="13"/>
      <c r="H9" s="13"/>
      <c r="I9" s="13"/>
      <c r="J9" s="13"/>
    </row>
    <row r="10" spans="1:10" ht="20.25">
      <c r="A10" s="31"/>
      <c r="B10" s="31"/>
      <c r="H10" s="13"/>
      <c r="I10" s="13"/>
      <c r="J10" s="13"/>
    </row>
    <row r="11" spans="1:10" ht="20.25">
      <c r="A11" s="31"/>
      <c r="B11" s="31"/>
      <c r="H11" s="13"/>
      <c r="I11" s="13"/>
      <c r="J11" s="13"/>
    </row>
    <row r="12" spans="1:10" ht="30" customHeight="1" thickBot="1">
      <c r="A12" s="31"/>
      <c r="B12" s="31"/>
      <c r="C12" t="s">
        <v>0</v>
      </c>
      <c r="H12" s="13"/>
      <c r="I12" s="13"/>
      <c r="J12" s="13"/>
    </row>
    <row r="13" spans="1:10" ht="26.25" customHeight="1" thickBot="1">
      <c r="A13" s="156" t="s">
        <v>235</v>
      </c>
      <c r="B13" s="13" t="s">
        <v>0</v>
      </c>
      <c r="C13" s="13"/>
      <c r="D13" s="13"/>
      <c r="E13" s="13"/>
      <c r="F13" s="13"/>
      <c r="G13" s="13"/>
      <c r="H13" s="13"/>
      <c r="I13" s="13"/>
      <c r="J13" s="13"/>
    </row>
    <row r="14" spans="1:10" ht="42" customHeight="1" thickBot="1">
      <c r="A14" s="155" t="s">
        <v>233</v>
      </c>
      <c r="B14" s="154" t="s">
        <v>224</v>
      </c>
      <c r="C14" s="153" t="s">
        <v>236</v>
      </c>
      <c r="D14" s="154" t="s">
        <v>226</v>
      </c>
      <c r="E14" s="154" t="s">
        <v>403</v>
      </c>
      <c r="F14" s="152" t="s">
        <v>225</v>
      </c>
      <c r="G14" s="13"/>
      <c r="H14" s="13"/>
      <c r="I14" s="13"/>
      <c r="J14" s="13"/>
    </row>
    <row r="15" spans="1:10" ht="16.5">
      <c r="A15" s="149"/>
      <c r="B15" s="116"/>
      <c r="C15" s="116"/>
      <c r="D15" s="116"/>
      <c r="E15" s="116"/>
      <c r="F15" s="150"/>
      <c r="G15" s="13"/>
      <c r="H15" s="13"/>
      <c r="I15" s="13"/>
      <c r="J15" s="13"/>
    </row>
    <row r="16" spans="1:10" ht="17.25">
      <c r="A16" s="177" t="s">
        <v>406</v>
      </c>
      <c r="B16" s="190">
        <v>2.9399999999999999E-2</v>
      </c>
      <c r="C16" s="187">
        <f>+'Beta for CAPM'!$H$34</f>
        <v>0.78</v>
      </c>
      <c r="D16" s="178">
        <f>+B16*C16</f>
        <v>2.2932000000000001E-2</v>
      </c>
      <c r="E16" s="178">
        <f>+'Growth &amp; Inflation Rates'!$G$24</f>
        <v>4.8099999999999997E-2</v>
      </c>
      <c r="F16" s="179">
        <f>+D16+E16</f>
        <v>7.1031999999999998E-2</v>
      </c>
      <c r="G16" s="13"/>
      <c r="H16" s="13"/>
      <c r="I16" s="13"/>
      <c r="J16" s="13"/>
    </row>
    <row r="17" spans="1:10" ht="17.25">
      <c r="A17" s="177" t="s">
        <v>407</v>
      </c>
      <c r="B17" s="190">
        <v>2.98E-2</v>
      </c>
      <c r="C17" s="187">
        <f>+'Beta for CAPM'!$H$34</f>
        <v>0.78</v>
      </c>
      <c r="D17" s="178">
        <f>+B17*C17</f>
        <v>2.3244000000000001E-2</v>
      </c>
      <c r="E17" s="178">
        <f>+'Growth &amp; Inflation Rates'!$G$24</f>
        <v>4.8099999999999997E-2</v>
      </c>
      <c r="F17" s="179">
        <f>+D17+E17</f>
        <v>7.1343999999999991E-2</v>
      </c>
      <c r="G17" s="13"/>
      <c r="H17" s="13"/>
      <c r="I17" s="13"/>
      <c r="J17" s="13"/>
    </row>
    <row r="18" spans="1:10" ht="17.25">
      <c r="A18" s="180"/>
      <c r="B18" s="111"/>
      <c r="C18" s="111"/>
      <c r="D18" s="111"/>
      <c r="E18" s="178"/>
      <c r="F18" s="181"/>
      <c r="G18" s="13"/>
      <c r="H18" s="13"/>
      <c r="I18" s="13"/>
      <c r="J18" s="13"/>
    </row>
    <row r="19" spans="1:10" ht="17.25">
      <c r="A19" s="177" t="s">
        <v>419</v>
      </c>
      <c r="B19" s="190">
        <v>4.2299999999999997E-2</v>
      </c>
      <c r="C19" s="187">
        <f>+'Beta for CAPM'!$H$34</f>
        <v>0.78</v>
      </c>
      <c r="D19" s="178">
        <f>+B19*C19</f>
        <v>3.2994000000000002E-2</v>
      </c>
      <c r="E19" s="178">
        <f>+'Growth &amp; Inflation Rates'!$G$24</f>
        <v>4.8099999999999997E-2</v>
      </c>
      <c r="F19" s="179">
        <f>+D19+E19</f>
        <v>8.1093999999999999E-2</v>
      </c>
      <c r="G19" s="13"/>
      <c r="H19" s="13"/>
      <c r="I19" s="13"/>
      <c r="J19" s="13"/>
    </row>
    <row r="20" spans="1:10" ht="17.25">
      <c r="A20" s="177" t="s">
        <v>437</v>
      </c>
      <c r="B20" s="190">
        <v>6.1800000000000001E-2</v>
      </c>
      <c r="C20" s="187">
        <f>+'Beta for CAPM'!$H$34</f>
        <v>0.78</v>
      </c>
      <c r="D20" s="178">
        <f>+B20*C20</f>
        <v>4.8204000000000004E-2</v>
      </c>
      <c r="E20" s="178">
        <f>+'Growth &amp; Inflation Rates'!$G$24</f>
        <v>4.8099999999999997E-2</v>
      </c>
      <c r="F20" s="179">
        <f>+D20+E20</f>
        <v>9.6304000000000001E-2</v>
      </c>
      <c r="G20" s="13"/>
      <c r="H20" s="13"/>
      <c r="I20" s="13"/>
      <c r="J20" s="13"/>
    </row>
    <row r="21" spans="1:10" ht="17.25">
      <c r="A21" s="177" t="s">
        <v>420</v>
      </c>
      <c r="B21" s="190">
        <v>3.9600000000000003E-2</v>
      </c>
      <c r="C21" s="187">
        <f>+'Beta for CAPM'!$H$34</f>
        <v>0.78</v>
      </c>
      <c r="D21" s="178">
        <f>+B21*C21</f>
        <v>3.0888000000000002E-2</v>
      </c>
      <c r="E21" s="178">
        <f>+'Growth &amp; Inflation Rates'!$G$24</f>
        <v>4.8099999999999997E-2</v>
      </c>
      <c r="F21" s="179">
        <f>+D21+E21</f>
        <v>7.8988000000000003E-2</v>
      </c>
      <c r="G21" s="13"/>
      <c r="H21" s="13"/>
      <c r="I21" s="13"/>
      <c r="J21" s="13"/>
    </row>
    <row r="22" spans="1:10" ht="17.25">
      <c r="A22" s="177" t="s">
        <v>421</v>
      </c>
      <c r="B22" s="190">
        <v>3.6200000000000003E-2</v>
      </c>
      <c r="C22" s="187">
        <f>+'Beta for CAPM'!$H$34</f>
        <v>0.78</v>
      </c>
      <c r="D22" s="178">
        <f>+B22*C22</f>
        <v>2.8236000000000004E-2</v>
      </c>
      <c r="E22" s="178">
        <f>+'Growth &amp; Inflation Rates'!$G$24</f>
        <v>4.8099999999999997E-2</v>
      </c>
      <c r="F22" s="179">
        <f>+D22+E22</f>
        <v>7.6336000000000001E-2</v>
      </c>
      <c r="G22" s="13"/>
      <c r="H22" s="13"/>
      <c r="I22" s="13"/>
      <c r="J22" s="13"/>
    </row>
    <row r="23" spans="1:10" ht="17.25">
      <c r="A23" s="177" t="s">
        <v>0</v>
      </c>
      <c r="B23" s="190"/>
      <c r="C23" s="188" t="s">
        <v>0</v>
      </c>
      <c r="D23" s="178" t="s">
        <v>0</v>
      </c>
      <c r="E23" s="178"/>
      <c r="F23" s="179" t="s">
        <v>0</v>
      </c>
      <c r="G23" s="13"/>
      <c r="H23" s="13"/>
      <c r="I23" s="13"/>
      <c r="J23" s="13"/>
    </row>
    <row r="24" spans="1:10" ht="17.25">
      <c r="A24" s="177" t="s">
        <v>229</v>
      </c>
      <c r="B24" s="190">
        <v>5.6099999999999997E-2</v>
      </c>
      <c r="C24" s="187">
        <f>+'Beta for CAPM'!$H$34</f>
        <v>0.78</v>
      </c>
      <c r="D24" s="178">
        <f>+B24*C24</f>
        <v>4.3757999999999998E-2</v>
      </c>
      <c r="E24" s="178">
        <f>+'Growth &amp; Inflation Rates'!$G$24</f>
        <v>4.8099999999999997E-2</v>
      </c>
      <c r="F24" s="179">
        <f>+D24+E24</f>
        <v>9.1857999999999995E-2</v>
      </c>
      <c r="G24" s="13"/>
      <c r="H24" s="13"/>
      <c r="I24" s="13"/>
      <c r="J24" s="13"/>
    </row>
    <row r="25" spans="1:10" ht="17.25">
      <c r="A25" s="177" t="s">
        <v>0</v>
      </c>
      <c r="B25" s="190"/>
      <c r="C25" s="188" t="s">
        <v>0</v>
      </c>
      <c r="D25" s="178" t="s">
        <v>0</v>
      </c>
      <c r="E25" s="178"/>
      <c r="F25" s="179" t="s">
        <v>0</v>
      </c>
      <c r="G25" s="13"/>
      <c r="H25" s="13"/>
      <c r="I25" s="13"/>
      <c r="J25" s="13"/>
    </row>
    <row r="26" spans="1:10" ht="17.25">
      <c r="A26" s="177" t="s">
        <v>438</v>
      </c>
      <c r="B26" s="190">
        <v>5.5E-2</v>
      </c>
      <c r="C26" s="187">
        <f>+'Beta for CAPM'!$H$34</f>
        <v>0.78</v>
      </c>
      <c r="D26" s="178">
        <f>+B26*C26</f>
        <v>4.2900000000000001E-2</v>
      </c>
      <c r="E26" s="178">
        <f>+'Growth &amp; Inflation Rates'!$G$24</f>
        <v>4.8099999999999997E-2</v>
      </c>
      <c r="F26" s="179">
        <f>+D26+E26</f>
        <v>9.0999999999999998E-2</v>
      </c>
      <c r="G26" s="13"/>
      <c r="H26" s="13"/>
      <c r="I26" s="13"/>
      <c r="J26" s="13"/>
    </row>
    <row r="27" spans="1:10" ht="17.25">
      <c r="A27" s="177" t="s">
        <v>0</v>
      </c>
      <c r="B27" s="190"/>
      <c r="C27" s="188" t="s">
        <v>0</v>
      </c>
      <c r="D27" s="178" t="s">
        <v>0</v>
      </c>
      <c r="E27" s="178"/>
      <c r="F27" s="179" t="s">
        <v>0</v>
      </c>
      <c r="G27" s="13"/>
      <c r="H27" s="13"/>
      <c r="I27" s="13"/>
      <c r="J27" s="13"/>
    </row>
    <row r="28" spans="1:10" ht="17.25">
      <c r="A28" s="177" t="s">
        <v>230</v>
      </c>
      <c r="B28" s="190">
        <v>6.7799999999999999E-2</v>
      </c>
      <c r="C28" s="187">
        <f>+'Beta for CAPM'!$H$34</f>
        <v>0.78</v>
      </c>
      <c r="D28" s="178">
        <f>+B28*C28</f>
        <v>5.2884E-2</v>
      </c>
      <c r="E28" s="178">
        <f>+'Growth &amp; Inflation Rates'!$G$24</f>
        <v>4.8099999999999997E-2</v>
      </c>
      <c r="F28" s="179">
        <f>+D28+E28</f>
        <v>0.10098399999999999</v>
      </c>
      <c r="G28" s="13"/>
      <c r="H28" s="13"/>
      <c r="I28" s="13"/>
      <c r="J28" s="13"/>
    </row>
    <row r="29" spans="1:10" ht="17.25">
      <c r="A29" s="177" t="s">
        <v>231</v>
      </c>
      <c r="B29" s="190">
        <v>5.5399999999999998E-2</v>
      </c>
      <c r="C29" s="187">
        <f>+'Beta for CAPM'!$H$34</f>
        <v>0.78</v>
      </c>
      <c r="D29" s="178">
        <f>+B29*C29</f>
        <v>4.3212E-2</v>
      </c>
      <c r="E29" s="178">
        <f>+'Growth &amp; Inflation Rates'!$G$24</f>
        <v>4.8099999999999997E-2</v>
      </c>
      <c r="F29" s="179">
        <f>+D29+E29</f>
        <v>9.1312000000000004E-2</v>
      </c>
      <c r="G29" s="13"/>
      <c r="H29" s="13"/>
      <c r="I29" s="13"/>
      <c r="J29" s="13"/>
    </row>
    <row r="30" spans="1:10" ht="17.25">
      <c r="A30" s="177"/>
      <c r="B30" s="190"/>
      <c r="C30" s="187"/>
      <c r="D30" s="178"/>
      <c r="E30" s="178"/>
      <c r="F30" s="179"/>
      <c r="G30" s="13"/>
      <c r="H30" s="13"/>
      <c r="I30" s="13"/>
      <c r="J30" s="13"/>
    </row>
    <row r="31" spans="1:10" ht="17.25">
      <c r="A31" s="177" t="s">
        <v>422</v>
      </c>
      <c r="B31" s="190">
        <v>7.3700000000000002E-2</v>
      </c>
      <c r="C31" s="187">
        <f>+'Beta for CAPM'!$H$34</f>
        <v>0.78</v>
      </c>
      <c r="D31" s="178">
        <f>+B31*C31</f>
        <v>5.7486000000000002E-2</v>
      </c>
      <c r="E31" s="178">
        <f>+'Growth &amp; Inflation Rates'!$G$24</f>
        <v>4.8099999999999997E-2</v>
      </c>
      <c r="F31" s="179">
        <f>+D31+E31</f>
        <v>0.105586</v>
      </c>
      <c r="G31" s="13"/>
      <c r="H31" s="13"/>
      <c r="I31" s="13"/>
      <c r="J31" s="13"/>
    </row>
    <row r="32" spans="1:10" ht="17.25">
      <c r="A32" s="177" t="s">
        <v>423</v>
      </c>
      <c r="B32" s="190">
        <v>6.3100000000000003E-2</v>
      </c>
      <c r="C32" s="187">
        <f>+'Beta for CAPM'!$H$34</f>
        <v>0.78</v>
      </c>
      <c r="D32" s="178">
        <f>+B32*C32</f>
        <v>4.9218000000000005E-2</v>
      </c>
      <c r="E32" s="178">
        <f>+'Growth &amp; Inflation Rates'!$G$24</f>
        <v>4.8099999999999997E-2</v>
      </c>
      <c r="F32" s="179">
        <f>+D32+E32</f>
        <v>9.7318000000000002E-2</v>
      </c>
      <c r="G32" s="13"/>
      <c r="H32" s="13"/>
      <c r="I32" s="13"/>
      <c r="J32" s="13"/>
    </row>
    <row r="33" spans="1:10" ht="17.25">
      <c r="A33" s="177" t="s">
        <v>424</v>
      </c>
      <c r="B33" s="190">
        <v>0.05</v>
      </c>
      <c r="C33" s="187">
        <f>+'Beta for CAPM'!$H$34</f>
        <v>0.78</v>
      </c>
      <c r="D33" s="178">
        <f>+B33*C33</f>
        <v>3.9000000000000007E-2</v>
      </c>
      <c r="E33" s="178">
        <f>+'Growth &amp; Inflation Rates'!$G$24</f>
        <v>4.8099999999999997E-2</v>
      </c>
      <c r="F33" s="179">
        <f>+D33+E33</f>
        <v>8.7100000000000011E-2</v>
      </c>
      <c r="G33" s="13"/>
      <c r="H33" s="13"/>
      <c r="I33" s="13"/>
      <c r="J33" s="13"/>
    </row>
    <row r="34" spans="1:10" ht="17.25">
      <c r="A34" s="177"/>
      <c r="B34" s="190"/>
      <c r="C34" s="187"/>
      <c r="D34" s="178"/>
      <c r="E34" s="178"/>
      <c r="F34" s="179"/>
      <c r="G34" s="13"/>
      <c r="H34" s="13"/>
      <c r="I34" s="13"/>
      <c r="J34" s="13"/>
    </row>
    <row r="35" spans="1:10" ht="17.25">
      <c r="A35" s="177" t="s">
        <v>0</v>
      </c>
      <c r="B35" s="368" t="s">
        <v>0</v>
      </c>
      <c r="C35" s="370" t="s">
        <v>0</v>
      </c>
      <c r="D35" s="368" t="s">
        <v>0</v>
      </c>
      <c r="E35" s="368" t="s">
        <v>0</v>
      </c>
      <c r="F35" s="369" t="s">
        <v>0</v>
      </c>
      <c r="G35" s="13" t="s">
        <v>0</v>
      </c>
      <c r="H35" s="13"/>
      <c r="I35" s="13"/>
      <c r="J35" s="13"/>
    </row>
    <row r="36" spans="1:10" ht="17.25" thickBot="1">
      <c r="A36" s="351"/>
      <c r="B36" s="30"/>
      <c r="C36" s="30"/>
      <c r="D36" s="30"/>
      <c r="E36" s="30"/>
      <c r="F36" s="352"/>
      <c r="G36" s="13"/>
      <c r="H36" s="13"/>
      <c r="I36" s="13"/>
      <c r="J36" s="13"/>
    </row>
    <row r="37" spans="1:10" ht="16.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27" customHeight="1" thickBot="1">
      <c r="A38" s="13"/>
      <c r="B38" s="13"/>
      <c r="C38" s="13"/>
      <c r="D38" s="13"/>
      <c r="E38" s="13"/>
      <c r="F38" s="13"/>
      <c r="G38" s="13" t="s">
        <v>0</v>
      </c>
      <c r="H38" s="13"/>
      <c r="I38" s="13"/>
      <c r="J38" s="13"/>
    </row>
    <row r="39" spans="1:10" ht="18" thickBot="1">
      <c r="A39" s="156" t="s">
        <v>234</v>
      </c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41.25" thickBot="1">
      <c r="A40" s="155" t="s">
        <v>232</v>
      </c>
      <c r="B40" s="154" t="s">
        <v>224</v>
      </c>
      <c r="C40" s="153" t="s">
        <v>236</v>
      </c>
      <c r="D40" s="154" t="s">
        <v>227</v>
      </c>
      <c r="E40" s="154" t="s">
        <v>228</v>
      </c>
      <c r="F40" s="154" t="s">
        <v>403</v>
      </c>
      <c r="G40" s="152" t="s">
        <v>225</v>
      </c>
      <c r="H40" s="13"/>
      <c r="I40" s="13"/>
      <c r="J40" s="13"/>
    </row>
    <row r="41" spans="1:10" ht="16.5">
      <c r="A41" s="149"/>
      <c r="B41" s="116"/>
      <c r="C41" s="116"/>
      <c r="D41" s="116"/>
      <c r="E41" s="116"/>
      <c r="F41" s="116"/>
      <c r="G41" s="150"/>
      <c r="H41" s="13"/>
      <c r="I41" s="13"/>
      <c r="J41" s="13"/>
    </row>
    <row r="42" spans="1:10" ht="17.25">
      <c r="A42" s="177" t="s">
        <v>406</v>
      </c>
      <c r="B42" s="190">
        <f>+B16</f>
        <v>2.9399999999999999E-2</v>
      </c>
      <c r="C42" s="187">
        <f>+'Beta for CAPM'!$H$34</f>
        <v>0.78</v>
      </c>
      <c r="D42" s="178">
        <f>+B42*C42*0.75</f>
        <v>1.7198999999999999E-2</v>
      </c>
      <c r="E42" s="190">
        <f>+B42*0.25</f>
        <v>7.3499999999999998E-3</v>
      </c>
      <c r="F42" s="178">
        <f>+E16</f>
        <v>4.8099999999999997E-2</v>
      </c>
      <c r="G42" s="179">
        <f>+D42+E42+F42</f>
        <v>7.2648999999999991E-2</v>
      </c>
      <c r="H42" s="13"/>
      <c r="I42" s="13"/>
      <c r="J42" s="13"/>
    </row>
    <row r="43" spans="1:10" ht="17.25">
      <c r="A43" s="177" t="s">
        <v>407</v>
      </c>
      <c r="B43" s="190">
        <f>+B17</f>
        <v>2.98E-2</v>
      </c>
      <c r="C43" s="187">
        <f>+'Beta for CAPM'!$H$34</f>
        <v>0.78</v>
      </c>
      <c r="D43" s="178">
        <f>+B43*C43*0.75</f>
        <v>1.7433000000000001E-2</v>
      </c>
      <c r="E43" s="190">
        <f>+B43*0.25</f>
        <v>7.45E-3</v>
      </c>
      <c r="F43" s="178">
        <f>+E17</f>
        <v>4.8099999999999997E-2</v>
      </c>
      <c r="G43" s="179">
        <f>+D43+E43+F43</f>
        <v>7.2982999999999992E-2</v>
      </c>
      <c r="H43" s="13"/>
      <c r="I43" s="13"/>
      <c r="J43" s="13"/>
    </row>
    <row r="44" spans="1:10" ht="17.25">
      <c r="A44" s="180"/>
      <c r="B44" s="111"/>
      <c r="C44" s="111"/>
      <c r="D44" s="111"/>
      <c r="E44" s="111"/>
      <c r="F44" s="111"/>
      <c r="G44" s="181"/>
      <c r="H44" s="13"/>
      <c r="I44" s="13"/>
      <c r="J44" s="13"/>
    </row>
    <row r="45" spans="1:10" ht="17.25">
      <c r="A45" s="177" t="s">
        <v>419</v>
      </c>
      <c r="B45" s="190">
        <f>+B19</f>
        <v>4.2299999999999997E-2</v>
      </c>
      <c r="C45" s="187">
        <f>+'Beta for CAPM'!$H$34</f>
        <v>0.78</v>
      </c>
      <c r="D45" s="178">
        <f>+B45*C45*0.75</f>
        <v>2.4745500000000004E-2</v>
      </c>
      <c r="E45" s="190">
        <f>+B45*0.25</f>
        <v>1.0574999999999999E-2</v>
      </c>
      <c r="F45" s="178">
        <f>+E19</f>
        <v>4.8099999999999997E-2</v>
      </c>
      <c r="G45" s="179">
        <f>+D45+E45+F45</f>
        <v>8.3420500000000009E-2</v>
      </c>
      <c r="H45" s="13"/>
      <c r="I45" s="13"/>
      <c r="J45" s="13"/>
    </row>
    <row r="46" spans="1:10" ht="17.25">
      <c r="A46" s="177" t="str">
        <f>+A20</f>
        <v>Damodaran Implied ERP Ex Ante   Avg CF Yield Last 10 Yrs (3)</v>
      </c>
      <c r="B46" s="190">
        <f>+B20</f>
        <v>6.1800000000000001E-2</v>
      </c>
      <c r="C46" s="187">
        <f>+'Beta for CAPM'!$H$34</f>
        <v>0.78</v>
      </c>
      <c r="D46" s="178">
        <f>+B46*C46*0.75</f>
        <v>3.6153000000000005E-2</v>
      </c>
      <c r="E46" s="190">
        <f>+B46*0.25</f>
        <v>1.545E-2</v>
      </c>
      <c r="F46" s="178">
        <f>+E20</f>
        <v>4.8099999999999997E-2</v>
      </c>
      <c r="G46" s="179">
        <f>+D46+E46+F46</f>
        <v>9.9703E-2</v>
      </c>
      <c r="H46" s="13"/>
      <c r="I46" s="13"/>
      <c r="J46" s="13"/>
    </row>
    <row r="47" spans="1:10" ht="17.25">
      <c r="A47" s="177" t="s">
        <v>420</v>
      </c>
      <c r="B47" s="190">
        <f t="shared" ref="B47:B48" si="0">+B21</f>
        <v>3.9600000000000003E-2</v>
      </c>
      <c r="C47" s="187">
        <f>+'Beta for CAPM'!$H$34</f>
        <v>0.78</v>
      </c>
      <c r="D47" s="178">
        <f>+B47*C47*0.75</f>
        <v>2.3166000000000003E-2</v>
      </c>
      <c r="E47" s="190">
        <f>+B47*0.25</f>
        <v>9.9000000000000008E-3</v>
      </c>
      <c r="F47" s="178">
        <f>+E21</f>
        <v>4.8099999999999997E-2</v>
      </c>
      <c r="G47" s="179">
        <f>+D47+E47+F47</f>
        <v>8.1166000000000002E-2</v>
      </c>
      <c r="H47" s="13"/>
      <c r="I47" s="13"/>
      <c r="J47" s="13"/>
    </row>
    <row r="48" spans="1:10" ht="17.25">
      <c r="A48" s="177" t="s">
        <v>421</v>
      </c>
      <c r="B48" s="190">
        <f t="shared" si="0"/>
        <v>3.6200000000000003E-2</v>
      </c>
      <c r="C48" s="187">
        <f>+'Beta for CAPM'!$H$34</f>
        <v>0.78</v>
      </c>
      <c r="D48" s="178">
        <f>+B48*C48*0.75</f>
        <v>2.1177000000000001E-2</v>
      </c>
      <c r="E48" s="190">
        <f>+B48*0.25</f>
        <v>9.0500000000000008E-3</v>
      </c>
      <c r="F48" s="178">
        <f>+E22</f>
        <v>4.8099999999999997E-2</v>
      </c>
      <c r="G48" s="179">
        <f>+D48+E48+F48</f>
        <v>7.8327000000000008E-2</v>
      </c>
      <c r="H48" s="13"/>
      <c r="I48" s="13"/>
      <c r="J48" s="13"/>
    </row>
    <row r="49" spans="1:10" ht="17.25">
      <c r="A49" s="177" t="s">
        <v>0</v>
      </c>
      <c r="B49" s="190" t="s">
        <v>0</v>
      </c>
      <c r="C49" s="178" t="s">
        <v>0</v>
      </c>
      <c r="D49" s="178" t="s">
        <v>0</v>
      </c>
      <c r="E49" s="190" t="s">
        <v>0</v>
      </c>
      <c r="F49" s="178" t="s">
        <v>0</v>
      </c>
      <c r="G49" s="179" t="s">
        <v>0</v>
      </c>
      <c r="H49" s="13"/>
      <c r="I49" s="13"/>
      <c r="J49" s="13"/>
    </row>
    <row r="50" spans="1:10" ht="17.25">
      <c r="A50" s="177" t="s">
        <v>229</v>
      </c>
      <c r="B50" s="190">
        <f>+B24</f>
        <v>5.6099999999999997E-2</v>
      </c>
      <c r="C50" s="187">
        <f>+'Beta for CAPM'!$H$34</f>
        <v>0.78</v>
      </c>
      <c r="D50" s="178">
        <f>+B50*C50*0.75</f>
        <v>3.28185E-2</v>
      </c>
      <c r="E50" s="190">
        <f>+B50*0.25</f>
        <v>1.4024999999999999E-2</v>
      </c>
      <c r="F50" s="178">
        <f>+E24</f>
        <v>4.8099999999999997E-2</v>
      </c>
      <c r="G50" s="179">
        <f>+D50+E50+F50</f>
        <v>9.4943499999999986E-2</v>
      </c>
    </row>
    <row r="51" spans="1:10" ht="17.25">
      <c r="A51" s="177" t="s">
        <v>0</v>
      </c>
      <c r="B51" s="190" t="s">
        <v>0</v>
      </c>
      <c r="C51" s="178" t="s">
        <v>0</v>
      </c>
      <c r="D51" s="178" t="s">
        <v>0</v>
      </c>
      <c r="E51" s="190" t="s">
        <v>0</v>
      </c>
      <c r="F51" s="178" t="s">
        <v>0</v>
      </c>
      <c r="G51" s="179" t="s">
        <v>0</v>
      </c>
    </row>
    <row r="52" spans="1:10" ht="17.25">
      <c r="A52" s="177" t="s">
        <v>438</v>
      </c>
      <c r="B52" s="190">
        <f>+B26</f>
        <v>5.5E-2</v>
      </c>
      <c r="C52" s="187">
        <f>+'Beta for CAPM'!$H$34</f>
        <v>0.78</v>
      </c>
      <c r="D52" s="178">
        <f>+B52*C52*0.75</f>
        <v>3.2175000000000002E-2</v>
      </c>
      <c r="E52" s="190">
        <f>+B52*0.25</f>
        <v>1.375E-2</v>
      </c>
      <c r="F52" s="178">
        <f>+E26</f>
        <v>4.8099999999999997E-2</v>
      </c>
      <c r="G52" s="179">
        <f>+D52+E52+F52</f>
        <v>9.4024999999999997E-2</v>
      </c>
    </row>
    <row r="53" spans="1:10" ht="17.25">
      <c r="A53" s="177" t="s">
        <v>0</v>
      </c>
      <c r="B53" s="190" t="s">
        <v>0</v>
      </c>
      <c r="C53" s="178" t="s">
        <v>0</v>
      </c>
      <c r="D53" s="178" t="s">
        <v>0</v>
      </c>
      <c r="E53" s="190" t="s">
        <v>0</v>
      </c>
      <c r="F53" s="178" t="s">
        <v>0</v>
      </c>
      <c r="G53" s="179" t="s">
        <v>0</v>
      </c>
    </row>
    <row r="54" spans="1:10" ht="17.25">
      <c r="A54" s="177" t="s">
        <v>230</v>
      </c>
      <c r="B54" s="190">
        <f>+B28</f>
        <v>6.7799999999999999E-2</v>
      </c>
      <c r="C54" s="187">
        <f>+'Beta for CAPM'!$H$34</f>
        <v>0.78</v>
      </c>
      <c r="D54" s="178">
        <f>+B54*C54*0.75</f>
        <v>3.9663000000000004E-2</v>
      </c>
      <c r="E54" s="190">
        <f>+B54*0.25</f>
        <v>1.695E-2</v>
      </c>
      <c r="F54" s="178">
        <f>+E28</f>
        <v>4.8099999999999997E-2</v>
      </c>
      <c r="G54" s="179">
        <f>+D54+E54+F54</f>
        <v>0.104713</v>
      </c>
    </row>
    <row r="55" spans="1:10" ht="17.25">
      <c r="A55" s="177" t="s">
        <v>231</v>
      </c>
      <c r="B55" s="190">
        <f>+B29</f>
        <v>5.5399999999999998E-2</v>
      </c>
      <c r="C55" s="187">
        <f>+'Beta for CAPM'!$H$34</f>
        <v>0.78</v>
      </c>
      <c r="D55" s="178">
        <f>+B55*C55*0.75</f>
        <v>3.2409E-2</v>
      </c>
      <c r="E55" s="190">
        <f>+B55*0.25</f>
        <v>1.3849999999999999E-2</v>
      </c>
      <c r="F55" s="178">
        <f>+E29</f>
        <v>4.8099999999999997E-2</v>
      </c>
      <c r="G55" s="179">
        <f>+D55+E55+F55</f>
        <v>9.4358999999999998E-2</v>
      </c>
    </row>
    <row r="56" spans="1:10" ht="17.25">
      <c r="A56" s="177"/>
      <c r="B56" s="190"/>
      <c r="C56" s="186"/>
      <c r="D56" s="178"/>
      <c r="E56" s="190"/>
      <c r="F56" s="178"/>
      <c r="G56" s="179"/>
    </row>
    <row r="57" spans="1:10" ht="17.25">
      <c r="A57" s="177" t="s">
        <v>422</v>
      </c>
      <c r="B57" s="190">
        <f>+B31</f>
        <v>7.3700000000000002E-2</v>
      </c>
      <c r="C57" s="187">
        <f>+'Beta for CAPM'!$H$34</f>
        <v>0.78</v>
      </c>
      <c r="D57" s="178">
        <f>+B57*C57*0.75</f>
        <v>4.31145E-2</v>
      </c>
      <c r="E57" s="190">
        <f>+B57*0.25</f>
        <v>1.8425E-2</v>
      </c>
      <c r="F57" s="178">
        <f>+E31</f>
        <v>4.8099999999999997E-2</v>
      </c>
      <c r="G57" s="179">
        <f>+D57+E57+F57</f>
        <v>0.1096395</v>
      </c>
    </row>
    <row r="58" spans="1:10" ht="17.25">
      <c r="A58" s="177" t="s">
        <v>423</v>
      </c>
      <c r="B58" s="190">
        <f>+B32</f>
        <v>6.3100000000000003E-2</v>
      </c>
      <c r="C58" s="187">
        <f>+'Beta for CAPM'!$H$34</f>
        <v>0.78</v>
      </c>
      <c r="D58" s="178">
        <f>+B58*C58*0.75</f>
        <v>3.6913500000000002E-2</v>
      </c>
      <c r="E58" s="190">
        <f>+B58*0.25</f>
        <v>1.5775000000000001E-2</v>
      </c>
      <c r="F58" s="178">
        <f>+E32</f>
        <v>4.8099999999999997E-2</v>
      </c>
      <c r="G58" s="179">
        <f>+D58+E58+F58</f>
        <v>0.1007885</v>
      </c>
    </row>
    <row r="59" spans="1:10" ht="17.25">
      <c r="A59" s="177" t="s">
        <v>424</v>
      </c>
      <c r="B59" s="190">
        <f>+B33</f>
        <v>0.05</v>
      </c>
      <c r="C59" s="187">
        <f>+'Beta for CAPM'!$H$34</f>
        <v>0.78</v>
      </c>
      <c r="D59" s="178">
        <f>+B59*C59*0.75</f>
        <v>2.9250000000000005E-2</v>
      </c>
      <c r="E59" s="190">
        <f>+B59*0.25</f>
        <v>1.2500000000000001E-2</v>
      </c>
      <c r="F59" s="178">
        <f>+E33</f>
        <v>4.8099999999999997E-2</v>
      </c>
      <c r="G59" s="179">
        <f>+D59+E59+F59</f>
        <v>8.9850000000000013E-2</v>
      </c>
    </row>
    <row r="60" spans="1:10" ht="17.25">
      <c r="A60" s="177"/>
      <c r="B60" s="190"/>
      <c r="C60" s="186"/>
      <c r="D60" s="178"/>
      <c r="E60" s="190"/>
      <c r="F60" s="178"/>
      <c r="G60" s="179"/>
    </row>
    <row r="61" spans="1:10" ht="17.25">
      <c r="A61" s="177" t="s">
        <v>0</v>
      </c>
      <c r="B61" s="190" t="s">
        <v>0</v>
      </c>
      <c r="C61" s="370" t="s">
        <v>0</v>
      </c>
      <c r="D61" s="178" t="s">
        <v>0</v>
      </c>
      <c r="E61" s="190" t="s">
        <v>0</v>
      </c>
      <c r="F61" s="178" t="s">
        <v>0</v>
      </c>
      <c r="G61" s="179" t="s">
        <v>0</v>
      </c>
    </row>
    <row r="62" spans="1:10" ht="15.75" thickBot="1">
      <c r="A62" s="353"/>
      <c r="B62" s="147"/>
      <c r="C62" s="147"/>
      <c r="D62" s="147"/>
      <c r="E62" s="147"/>
      <c r="F62" s="147"/>
      <c r="G62" s="354"/>
    </row>
    <row r="64" spans="1:10" ht="17.25">
      <c r="A64" s="63" t="s">
        <v>90</v>
      </c>
      <c r="E64" s="189" t="s">
        <v>0</v>
      </c>
    </row>
    <row r="65" spans="1:7">
      <c r="A65" s="466" t="s">
        <v>0</v>
      </c>
      <c r="E65" s="189" t="s">
        <v>0</v>
      </c>
    </row>
    <row r="66" spans="1:7" ht="16.5">
      <c r="A66" s="464" t="s">
        <v>476</v>
      </c>
      <c r="B66" s="13"/>
      <c r="C66" s="13"/>
      <c r="D66" s="13"/>
      <c r="E66" s="13"/>
      <c r="F66" s="13"/>
      <c r="G66" s="13"/>
    </row>
    <row r="67" spans="1:7" ht="16.5">
      <c r="A67" s="464" t="s">
        <v>477</v>
      </c>
      <c r="B67" s="13"/>
      <c r="C67" s="13"/>
      <c r="D67" s="13"/>
      <c r="E67" s="13"/>
      <c r="F67" s="13"/>
      <c r="G67" s="13"/>
    </row>
    <row r="68" spans="1:7" ht="16.5">
      <c r="A68" s="44" t="s">
        <v>0</v>
      </c>
      <c r="B68" s="13"/>
      <c r="C68" s="13"/>
      <c r="D68" s="13"/>
      <c r="E68" s="13"/>
      <c r="F68" s="13"/>
      <c r="G68" s="13"/>
    </row>
    <row r="69" spans="1:7" ht="16.5">
      <c r="A69" s="44" t="s">
        <v>504</v>
      </c>
      <c r="B69" s="13"/>
      <c r="C69" s="13"/>
      <c r="D69" s="13"/>
      <c r="E69" s="13"/>
      <c r="F69" s="13"/>
      <c r="G69" s="13"/>
    </row>
    <row r="70" spans="1:7" ht="16.5">
      <c r="A70" s="145" t="s">
        <v>416</v>
      </c>
      <c r="C70" s="13"/>
      <c r="D70" s="13"/>
      <c r="E70" s="13"/>
      <c r="F70" s="13"/>
      <c r="G70" s="13"/>
    </row>
    <row r="71" spans="1:7" ht="16.5">
      <c r="A71" s="44" t="s">
        <v>0</v>
      </c>
      <c r="B71" s="13"/>
      <c r="C71" s="13"/>
      <c r="D71" s="13"/>
      <c r="E71" s="13"/>
      <c r="F71" s="13"/>
      <c r="G71" s="13"/>
    </row>
    <row r="72" spans="1:7" ht="16.5">
      <c r="A72" s="44" t="s">
        <v>505</v>
      </c>
      <c r="B72" s="13"/>
      <c r="C72" s="13"/>
      <c r="D72" s="13"/>
      <c r="E72" s="13"/>
      <c r="F72" s="13"/>
      <c r="G72" s="13"/>
    </row>
    <row r="73" spans="1:7" ht="16.5">
      <c r="A73" s="145" t="s">
        <v>417</v>
      </c>
      <c r="B73" s="13"/>
      <c r="C73" s="13"/>
      <c r="D73" s="13"/>
      <c r="E73" s="13"/>
      <c r="F73" s="13" t="s">
        <v>0</v>
      </c>
      <c r="G73" s="13"/>
    </row>
    <row r="74" spans="1:7" ht="16.5">
      <c r="A74" s="44"/>
      <c r="B74" s="13"/>
      <c r="C74" s="13"/>
      <c r="D74" s="13"/>
      <c r="E74" s="13"/>
      <c r="F74" s="13"/>
      <c r="G74" s="13"/>
    </row>
    <row r="75" spans="1:7" ht="16.5">
      <c r="A75" s="44" t="s">
        <v>506</v>
      </c>
      <c r="B75" s="13"/>
      <c r="C75" s="13"/>
      <c r="D75" s="13"/>
      <c r="E75" s="13"/>
      <c r="F75" s="13"/>
      <c r="G75" s="13"/>
    </row>
    <row r="76" spans="1:7" ht="16.5">
      <c r="A76" s="145" t="s">
        <v>515</v>
      </c>
      <c r="B76" s="13"/>
      <c r="C76" s="13"/>
      <c r="D76" s="13"/>
      <c r="E76" s="13"/>
      <c r="F76" s="13"/>
      <c r="G76" s="13"/>
    </row>
    <row r="77" spans="1:7" ht="16.5">
      <c r="A77" s="44"/>
      <c r="B77" s="13"/>
      <c r="C77" s="13"/>
      <c r="D77" s="13"/>
      <c r="E77" s="13"/>
      <c r="F77" s="13"/>
      <c r="G77" s="13"/>
    </row>
    <row r="78" spans="1:7" ht="16.5">
      <c r="A78" s="44" t="s">
        <v>487</v>
      </c>
      <c r="B78" s="13"/>
      <c r="C78" s="13"/>
      <c r="D78" s="13"/>
      <c r="E78" s="13"/>
      <c r="F78" s="13"/>
      <c r="G78" s="13"/>
    </row>
    <row r="79" spans="1:7" ht="16.5">
      <c r="A79" s="145" t="s">
        <v>418</v>
      </c>
      <c r="B79" s="13"/>
      <c r="C79" s="13"/>
      <c r="D79" s="13"/>
      <c r="E79" s="13"/>
      <c r="F79" s="13"/>
      <c r="G79" s="13"/>
    </row>
    <row r="80" spans="1:7">
      <c r="A80" s="466"/>
    </row>
    <row r="81" spans="1:7" ht="16.5">
      <c r="A81" s="44" t="s">
        <v>488</v>
      </c>
    </row>
    <row r="82" spans="1:7" ht="16.5">
      <c r="A82" s="44" t="s">
        <v>0</v>
      </c>
    </row>
    <row r="83" spans="1:7" ht="16.5">
      <c r="A83" s="44" t="s">
        <v>0</v>
      </c>
    </row>
    <row r="84" spans="1:7" ht="16.5">
      <c r="A84" s="367"/>
    </row>
    <row r="85" spans="1:7" ht="21" thickBot="1">
      <c r="A85" s="148"/>
      <c r="B85" s="148"/>
      <c r="C85" s="148"/>
      <c r="D85" s="30"/>
      <c r="E85" s="37"/>
      <c r="F85" s="30"/>
      <c r="G85" s="147"/>
    </row>
  </sheetData>
  <hyperlinks>
    <hyperlink ref="A79" r:id="rId1" xr:uid="{8B7D3D44-61CA-4B68-8D5D-3AB2FFD39406}"/>
    <hyperlink ref="A70" r:id="rId2" xr:uid="{427C2850-CF99-4289-BFD5-C267B73858B5}"/>
    <hyperlink ref="A73" r:id="rId3" xr:uid="{F5616DB6-E2F0-4C38-AC51-8415DFEBA562}"/>
    <hyperlink ref="A76" r:id="rId4" xr:uid="{8E2D835B-584D-424C-804D-2A255A61B993}"/>
  </hyperlinks>
  <pageMargins left="0.25" right="0.25" top="0.75" bottom="0.75" header="0.3" footer="0.3"/>
  <pageSetup scale="39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8445-1E4A-4BEE-BCFA-A4C884BF51E5}">
  <sheetPr>
    <tabColor rgb="FF92D050"/>
  </sheetPr>
  <dimension ref="A1:R108"/>
  <sheetViews>
    <sheetView tabSelected="1" view="pageBreakPreview" topLeftCell="A56" zoomScale="50" zoomScaleNormal="80" zoomScaleSheetLayoutView="50" workbookViewId="0">
      <selection activeCell="A74" sqref="A74"/>
    </sheetView>
  </sheetViews>
  <sheetFormatPr defaultRowHeight="15"/>
  <cols>
    <col min="1" max="1" width="70.5703125" customWidth="1"/>
    <col min="2" max="2" width="23.5703125" customWidth="1"/>
    <col min="3" max="3" width="26.7109375" customWidth="1"/>
    <col min="4" max="4" width="27.85546875" customWidth="1"/>
    <col min="5" max="5" width="28.85546875" customWidth="1"/>
    <col min="6" max="6" width="29.140625" customWidth="1"/>
    <col min="7" max="7" width="31" customWidth="1"/>
    <col min="8" max="8" width="27.42578125" customWidth="1"/>
    <col min="9" max="9" width="15.42578125" customWidth="1"/>
    <col min="10" max="10" width="23.42578125" customWidth="1"/>
    <col min="11" max="11" width="18.28515625" customWidth="1"/>
    <col min="12" max="12" width="14.140625" bestFit="1" customWidth="1"/>
    <col min="14" max="14" width="1.7109375" bestFit="1" customWidth="1"/>
    <col min="16" max="16" width="18.140625" bestFit="1" customWidth="1"/>
    <col min="17" max="17" width="18.5703125" bestFit="1" customWidth="1"/>
    <col min="18" max="18" width="47.42578125" bestFit="1" customWidth="1"/>
  </cols>
  <sheetData>
    <row r="1" spans="1:11" ht="26.25">
      <c r="A1" s="25" t="s">
        <v>1</v>
      </c>
      <c r="C1" s="25"/>
      <c r="D1" s="25"/>
      <c r="E1" s="13"/>
      <c r="F1" s="13"/>
      <c r="G1" s="13"/>
      <c r="H1" s="13"/>
      <c r="I1" s="13"/>
      <c r="J1" s="13"/>
      <c r="K1" s="13"/>
    </row>
    <row r="2" spans="1:11" ht="17.25">
      <c r="A2" s="26" t="s">
        <v>9</v>
      </c>
      <c r="C2" s="26"/>
      <c r="D2" s="26"/>
      <c r="E2" s="13"/>
      <c r="F2" s="13"/>
      <c r="G2" s="13"/>
      <c r="H2" s="13"/>
      <c r="I2" s="13"/>
      <c r="J2" s="13"/>
      <c r="K2" s="13"/>
    </row>
    <row r="3" spans="1:11" ht="16.5">
      <c r="A3" s="27" t="s">
        <v>485</v>
      </c>
      <c r="C3" s="27"/>
      <c r="D3" s="27"/>
      <c r="E3" s="13"/>
      <c r="F3" s="13"/>
      <c r="G3" s="13"/>
      <c r="H3" s="13"/>
      <c r="I3" s="13"/>
      <c r="J3" s="13"/>
      <c r="K3" s="13"/>
    </row>
    <row r="4" spans="1:11" ht="16.5">
      <c r="B4" s="27"/>
      <c r="C4" s="27"/>
      <c r="D4" s="27"/>
      <c r="E4" s="13"/>
      <c r="F4" s="13"/>
      <c r="G4" s="13"/>
      <c r="H4" s="13"/>
      <c r="I4" s="13"/>
      <c r="J4" s="13"/>
      <c r="K4" s="13"/>
    </row>
    <row r="5" spans="1:11" ht="16.5">
      <c r="B5" s="13"/>
      <c r="C5" s="13"/>
      <c r="D5" s="13"/>
      <c r="E5" s="13"/>
      <c r="F5" s="13"/>
      <c r="G5" s="13"/>
      <c r="H5" s="13"/>
      <c r="I5" s="488" t="s">
        <v>0</v>
      </c>
      <c r="J5" s="28"/>
      <c r="K5" s="13"/>
    </row>
    <row r="6" spans="1:11" ht="17.25" thickBot="1">
      <c r="B6" s="13"/>
      <c r="C6" s="13"/>
      <c r="D6" s="30"/>
      <c r="E6" s="30"/>
      <c r="F6" s="147"/>
      <c r="H6" s="13"/>
      <c r="I6" s="13"/>
      <c r="J6" s="13"/>
    </row>
    <row r="7" spans="1:11" ht="27" thickBot="1">
      <c r="A7" s="29" t="str">
        <f>+'S&amp;D'!A12</f>
        <v>Natural Gas Utility Distribution</v>
      </c>
      <c r="C7" s="31"/>
      <c r="D7" s="31"/>
      <c r="E7" s="32" t="s">
        <v>258</v>
      </c>
      <c r="H7" s="13"/>
      <c r="I7" s="13"/>
      <c r="J7" s="13"/>
    </row>
    <row r="8" spans="1:11" ht="21" thickBot="1">
      <c r="B8" s="31"/>
      <c r="C8" s="31"/>
      <c r="D8" s="148"/>
      <c r="E8" s="37" t="s">
        <v>498</v>
      </c>
      <c r="F8" s="147"/>
      <c r="H8" s="13"/>
      <c r="I8" s="13"/>
    </row>
    <row r="9" spans="1:11" ht="20.25">
      <c r="B9" s="31"/>
      <c r="C9" s="31"/>
      <c r="D9" s="31"/>
      <c r="E9" s="35"/>
      <c r="H9" s="13"/>
      <c r="I9" s="13"/>
    </row>
    <row r="10" spans="1:11" ht="29.1" customHeight="1" thickBot="1">
      <c r="A10" s="148"/>
      <c r="B10" s="31"/>
      <c r="I10" s="13"/>
    </row>
    <row r="11" spans="1:11" ht="22.5" customHeight="1" thickBot="1">
      <c r="A11" s="160" t="s">
        <v>257</v>
      </c>
      <c r="B11" s="31"/>
      <c r="I11" s="13"/>
    </row>
    <row r="12" spans="1:11" ht="20.100000000000001" customHeight="1" thickBot="1">
      <c r="A12" s="159" t="s">
        <v>0</v>
      </c>
      <c r="B12" s="13"/>
      <c r="C12" s="13"/>
      <c r="D12" s="13"/>
      <c r="E12" s="13"/>
      <c r="F12" s="13"/>
      <c r="G12" s="13"/>
      <c r="H12" s="13"/>
      <c r="I12" s="13"/>
    </row>
    <row r="13" spans="1:11" ht="60.6" customHeight="1" thickBot="1">
      <c r="A13" s="200" t="s">
        <v>0</v>
      </c>
      <c r="B13" s="154" t="s">
        <v>306</v>
      </c>
      <c r="C13" s="154" t="s">
        <v>305</v>
      </c>
      <c r="D13" s="153" t="s">
        <v>237</v>
      </c>
      <c r="E13" s="154" t="s">
        <v>238</v>
      </c>
      <c r="F13" s="154" t="s">
        <v>275</v>
      </c>
      <c r="G13" s="154" t="s">
        <v>274</v>
      </c>
      <c r="H13" s="154" t="s">
        <v>239</v>
      </c>
    </row>
    <row r="14" spans="1:11" ht="16.5">
      <c r="A14" s="149"/>
      <c r="B14" s="194"/>
      <c r="C14" s="194"/>
      <c r="D14" s="116"/>
      <c r="E14" s="194"/>
      <c r="F14" s="194"/>
      <c r="G14" s="194"/>
      <c r="H14" s="194"/>
    </row>
    <row r="15" spans="1:11" ht="20.25">
      <c r="A15" s="157" t="str">
        <f>+A7</f>
        <v>Natural Gas Utility Distribution</v>
      </c>
      <c r="B15" s="211"/>
      <c r="C15" s="211"/>
      <c r="D15" s="282"/>
      <c r="E15" s="211"/>
      <c r="F15" s="211">
        <f>+'Dividends '!K30</f>
        <v>4.55159171494205E-2</v>
      </c>
      <c r="G15" s="211">
        <f>+Earnings!K30</f>
        <v>6.3998619241153534E-2</v>
      </c>
      <c r="H15" s="211"/>
    </row>
    <row r="16" spans="1:11" ht="21" thickBot="1">
      <c r="A16" s="151" t="s">
        <v>0</v>
      </c>
      <c r="B16" s="195" t="s">
        <v>0</v>
      </c>
      <c r="C16" s="195"/>
      <c r="D16" s="158"/>
      <c r="E16" s="195"/>
      <c r="F16" s="236">
        <f>+'Dividends '!K31</f>
        <v>4.0196734062129751E-2</v>
      </c>
      <c r="G16" s="236">
        <f>+Earnings!K31</f>
        <v>5.8538489112474064E-2</v>
      </c>
      <c r="H16" s="195"/>
    </row>
    <row r="17" spans="1:18" ht="57.95" customHeight="1" thickBot="1">
      <c r="A17" s="13"/>
      <c r="B17" s="13"/>
      <c r="C17" s="13"/>
      <c r="D17" s="13"/>
      <c r="E17" s="13"/>
      <c r="F17" s="13"/>
      <c r="G17" s="13"/>
      <c r="H17" s="13"/>
      <c r="I17" s="13"/>
    </row>
    <row r="18" spans="1:18" ht="24.95" customHeight="1" thickBot="1">
      <c r="A18" s="160" t="s">
        <v>468</v>
      </c>
      <c r="B18" s="13"/>
      <c r="C18" s="13"/>
      <c r="D18" s="415"/>
      <c r="E18" s="13"/>
      <c r="F18" s="13"/>
      <c r="G18" s="13"/>
      <c r="H18" s="13"/>
      <c r="I18" s="13"/>
    </row>
    <row r="19" spans="1:18" ht="20.100000000000001" customHeight="1">
      <c r="A19" s="13"/>
      <c r="B19" s="13"/>
      <c r="C19" s="13"/>
      <c r="D19" s="440" t="s">
        <v>468</v>
      </c>
      <c r="E19" s="13"/>
      <c r="F19" s="13"/>
      <c r="G19" s="13"/>
      <c r="H19" s="13"/>
      <c r="I19" s="13"/>
    </row>
    <row r="20" spans="1:18" ht="27.95" customHeight="1">
      <c r="A20" s="441"/>
      <c r="B20" s="413"/>
      <c r="C20" s="442" t="s">
        <v>489</v>
      </c>
      <c r="D20" s="443"/>
      <c r="E20" s="13"/>
      <c r="F20" s="13"/>
      <c r="G20" s="13"/>
      <c r="H20" s="13"/>
      <c r="I20" s="13"/>
    </row>
    <row r="21" spans="1:18" ht="27.95" customHeight="1">
      <c r="A21" s="363"/>
      <c r="C21" s="444" t="s">
        <v>469</v>
      </c>
      <c r="D21" s="445">
        <v>4.19E-2</v>
      </c>
      <c r="E21" s="13"/>
      <c r="F21" s="13"/>
      <c r="G21" s="13"/>
      <c r="H21" s="13"/>
      <c r="I21" s="13"/>
    </row>
    <row r="22" spans="1:18" ht="27" customHeight="1">
      <c r="A22" s="363"/>
      <c r="C22" s="444" t="s">
        <v>470</v>
      </c>
      <c r="D22" s="445">
        <v>4.8099999999999997E-2</v>
      </c>
      <c r="E22" s="13"/>
      <c r="F22" s="13"/>
      <c r="G22" s="13"/>
      <c r="H22" s="13"/>
      <c r="I22" s="13"/>
    </row>
    <row r="23" spans="1:18" ht="27" customHeight="1" thickBot="1">
      <c r="A23" s="363"/>
      <c r="C23" s="444" t="s">
        <v>471</v>
      </c>
      <c r="D23" s="445">
        <v>4.8599999999999997E-2</v>
      </c>
      <c r="E23" s="13"/>
      <c r="F23" s="13"/>
      <c r="G23" s="446" t="s">
        <v>472</v>
      </c>
      <c r="I23" s="13"/>
    </row>
    <row r="24" spans="1:18" ht="27" customHeight="1" thickBot="1">
      <c r="A24" s="363"/>
      <c r="B24" s="13"/>
      <c r="C24" s="447" t="s">
        <v>490</v>
      </c>
      <c r="D24" s="448"/>
      <c r="E24" s="13"/>
      <c r="F24" s="13"/>
      <c r="G24" s="449">
        <v>4.8099999999999997E-2</v>
      </c>
      <c r="H24" s="13"/>
      <c r="I24" s="13"/>
    </row>
    <row r="25" spans="1:18" ht="27" customHeight="1">
      <c r="A25" s="363"/>
      <c r="C25" s="444" t="s">
        <v>469</v>
      </c>
      <c r="D25" s="445">
        <v>4.5499999999999999E-2</v>
      </c>
      <c r="E25" s="13"/>
      <c r="F25" s="13"/>
      <c r="G25" s="13"/>
      <c r="H25" s="13"/>
      <c r="I25" s="13"/>
    </row>
    <row r="26" spans="1:18" ht="27" customHeight="1">
      <c r="A26" s="363"/>
      <c r="C26" s="444" t="s">
        <v>473</v>
      </c>
      <c r="D26" s="445">
        <v>0</v>
      </c>
      <c r="E26" s="13"/>
      <c r="F26" s="13"/>
      <c r="G26" s="13"/>
      <c r="H26" s="13"/>
      <c r="I26" s="13"/>
    </row>
    <row r="27" spans="1:18" ht="27" customHeight="1">
      <c r="A27" s="363"/>
      <c r="C27" s="444" t="s">
        <v>474</v>
      </c>
      <c r="D27" s="445">
        <v>4.7699999999999999E-2</v>
      </c>
      <c r="E27" s="13"/>
      <c r="F27" s="13"/>
      <c r="G27" s="13"/>
      <c r="H27" s="13"/>
      <c r="I27" s="13"/>
    </row>
    <row r="28" spans="1:18" ht="27" customHeight="1">
      <c r="A28" s="363"/>
      <c r="C28" s="450" t="s">
        <v>491</v>
      </c>
      <c r="D28" s="451">
        <v>4.58E-2</v>
      </c>
      <c r="E28" s="13"/>
      <c r="F28" s="13"/>
      <c r="G28" s="13"/>
      <c r="H28" s="13"/>
      <c r="I28" s="13"/>
    </row>
    <row r="29" spans="1:18" ht="20.25">
      <c r="A29" s="452"/>
      <c r="B29" s="219"/>
      <c r="C29" s="453" t="s">
        <v>492</v>
      </c>
      <c r="D29" s="454">
        <v>4.8599999999999997E-2</v>
      </c>
      <c r="L29" s="13"/>
    </row>
    <row r="30" spans="1:18" ht="63.6" customHeight="1" thickBot="1">
      <c r="B30" s="13"/>
      <c r="C30" s="13"/>
      <c r="D30" s="30"/>
      <c r="E30" s="30"/>
      <c r="F30" s="30"/>
      <c r="G30" s="13"/>
      <c r="H30" s="13"/>
      <c r="I30" s="13"/>
      <c r="L30" s="13"/>
    </row>
    <row r="31" spans="1:18" ht="26.25">
      <c r="B31" s="31"/>
      <c r="C31" s="31"/>
      <c r="D31" s="13"/>
      <c r="E31" s="32" t="s">
        <v>222</v>
      </c>
      <c r="F31" s="13"/>
      <c r="G31" s="13"/>
      <c r="H31" s="13"/>
      <c r="I31" s="13"/>
      <c r="J31" s="455" t="s">
        <v>0</v>
      </c>
      <c r="K31" s="86"/>
      <c r="L31" s="86"/>
      <c r="M31" s="86"/>
      <c r="N31" s="86"/>
      <c r="O31" s="13"/>
      <c r="P31" s="13"/>
      <c r="Q31" s="13"/>
      <c r="R31" s="13"/>
    </row>
    <row r="32" spans="1:18" ht="21" thickBot="1">
      <c r="A32" s="147"/>
      <c r="B32" s="31"/>
      <c r="C32" s="31"/>
      <c r="D32" s="30"/>
      <c r="E32" s="37" t="s">
        <v>498</v>
      </c>
      <c r="F32" s="30"/>
      <c r="G32" s="13"/>
      <c r="H32" s="13"/>
      <c r="I32" s="13"/>
      <c r="J32" s="456"/>
      <c r="K32" s="457"/>
      <c r="L32" s="457"/>
      <c r="M32" s="86"/>
      <c r="N32" s="86"/>
      <c r="O32" s="13"/>
      <c r="P32" s="13"/>
      <c r="Q32" s="13"/>
      <c r="R32" s="13"/>
    </row>
    <row r="33" spans="1:18" ht="21" thickBot="1">
      <c r="A33" s="146" t="s">
        <v>444</v>
      </c>
      <c r="B33" s="31"/>
      <c r="C33" s="31"/>
      <c r="D33" s="35"/>
      <c r="E33" s="144"/>
      <c r="F33" s="13"/>
      <c r="G33" s="13"/>
      <c r="H33" s="13"/>
      <c r="I33" s="13"/>
      <c r="J33" s="456"/>
      <c r="K33" s="456"/>
      <c r="L33" s="456"/>
      <c r="M33" s="457"/>
      <c r="N33" s="490" t="s">
        <v>0</v>
      </c>
      <c r="O33" s="13"/>
      <c r="P33" s="13"/>
      <c r="Q33" s="13"/>
      <c r="R33" s="13"/>
    </row>
    <row r="34" spans="1:18" ht="18.75">
      <c r="A34" s="41" t="s">
        <v>0</v>
      </c>
      <c r="B34" s="41"/>
      <c r="C34" s="41"/>
      <c r="D34" s="41" t="s">
        <v>0</v>
      </c>
      <c r="E34" s="41" t="s">
        <v>0</v>
      </c>
      <c r="F34" s="41" t="s">
        <v>0</v>
      </c>
      <c r="G34" s="41"/>
      <c r="H34" s="13"/>
      <c r="I34" s="13"/>
      <c r="J34" s="456"/>
      <c r="K34" s="458"/>
      <c r="L34" s="456"/>
      <c r="M34" s="457"/>
      <c r="N34" s="86"/>
      <c r="O34" s="13"/>
      <c r="P34" s="13"/>
      <c r="Q34" s="13"/>
      <c r="R34" s="13"/>
    </row>
    <row r="35" spans="1:18" ht="20.25">
      <c r="A35" s="35" t="s">
        <v>0</v>
      </c>
      <c r="B35" s="35"/>
      <c r="C35" s="35"/>
      <c r="D35" s="400" t="s">
        <v>96</v>
      </c>
      <c r="E35" s="400" t="s">
        <v>259</v>
      </c>
      <c r="F35" s="400" t="s">
        <v>140</v>
      </c>
      <c r="G35" s="233"/>
      <c r="H35" s="13"/>
      <c r="I35" s="13"/>
      <c r="J35" s="456"/>
      <c r="K35" s="456"/>
      <c r="L35" s="456"/>
      <c r="M35" s="457"/>
      <c r="N35" s="86"/>
      <c r="O35" s="13"/>
      <c r="P35" s="13"/>
      <c r="Q35" s="13"/>
      <c r="R35" s="13"/>
    </row>
    <row r="36" spans="1:18" ht="20.25">
      <c r="A36" s="468" t="s">
        <v>138</v>
      </c>
      <c r="B36" s="469"/>
      <c r="C36" s="470"/>
      <c r="D36" s="401" t="s">
        <v>98</v>
      </c>
      <c r="E36" s="401" t="s">
        <v>139</v>
      </c>
      <c r="F36" s="401" t="s">
        <v>141</v>
      </c>
      <c r="G36" s="233"/>
      <c r="H36" s="13"/>
      <c r="I36" s="13"/>
      <c r="J36" s="457"/>
      <c r="K36" s="457"/>
      <c r="L36" s="459"/>
      <c r="M36" s="457"/>
      <c r="N36" s="86"/>
      <c r="O36" s="13"/>
      <c r="P36" s="13"/>
      <c r="Q36" s="13"/>
      <c r="R36" s="13"/>
    </row>
    <row r="37" spans="1:18" ht="18.75">
      <c r="H37" s="427"/>
      <c r="J37" s="457"/>
      <c r="K37" s="457"/>
      <c r="L37" s="86"/>
      <c r="M37" s="86"/>
      <c r="N37" s="86"/>
      <c r="O37" s="13"/>
      <c r="P37" s="13"/>
      <c r="Q37" s="13"/>
      <c r="R37" s="13"/>
    </row>
    <row r="38" spans="1:18" ht="20.25">
      <c r="A38" s="402" t="s">
        <v>260</v>
      </c>
      <c r="B38" s="161"/>
      <c r="C38" s="191"/>
      <c r="D38" s="403">
        <v>2.2499999999999999E-2</v>
      </c>
      <c r="E38" s="428" t="s">
        <v>507</v>
      </c>
      <c r="F38" s="428" t="s">
        <v>507</v>
      </c>
      <c r="H38" s="427" t="s">
        <v>0</v>
      </c>
      <c r="J38" s="460"/>
      <c r="K38" s="457"/>
      <c r="L38" s="457"/>
      <c r="M38" s="86"/>
      <c r="N38" s="86"/>
      <c r="O38" s="13"/>
      <c r="P38" s="13"/>
      <c r="Q38" s="13"/>
      <c r="R38" s="13"/>
    </row>
    <row r="39" spans="1:18" ht="20.25">
      <c r="A39" s="404" t="s">
        <v>261</v>
      </c>
      <c r="B39" s="63"/>
      <c r="C39" s="192"/>
      <c r="D39" s="405">
        <v>2.4199999999999999E-2</v>
      </c>
      <c r="E39" s="429" t="s">
        <v>507</v>
      </c>
      <c r="F39" s="429" t="s">
        <v>507</v>
      </c>
      <c r="H39" s="31" t="s">
        <v>0</v>
      </c>
      <c r="I39" s="13"/>
      <c r="J39" s="460"/>
      <c r="K39" s="457"/>
      <c r="L39" s="457"/>
      <c r="M39" s="86"/>
      <c r="N39" s="86"/>
      <c r="O39" s="13"/>
      <c r="P39" s="13"/>
      <c r="Q39" s="13"/>
      <c r="R39" s="13"/>
    </row>
    <row r="40" spans="1:18" ht="20.25">
      <c r="A40" s="406" t="s">
        <v>262</v>
      </c>
      <c r="B40" s="162"/>
      <c r="C40" s="193"/>
      <c r="D40" s="407">
        <v>2.23E-2</v>
      </c>
      <c r="E40" s="430" t="s">
        <v>507</v>
      </c>
      <c r="F40" s="430" t="s">
        <v>507</v>
      </c>
      <c r="H40" s="127" t="s">
        <v>0</v>
      </c>
      <c r="I40" s="13"/>
      <c r="J40" s="460"/>
      <c r="K40" s="457"/>
      <c r="L40" s="457"/>
      <c r="M40" s="86"/>
      <c r="N40" s="86"/>
      <c r="O40" s="13"/>
      <c r="P40" s="13"/>
      <c r="Q40" s="13"/>
      <c r="R40" s="13"/>
    </row>
    <row r="41" spans="1:18" ht="20.25">
      <c r="A41" s="404" t="s">
        <v>263</v>
      </c>
      <c r="B41" s="63"/>
      <c r="C41" s="192"/>
      <c r="D41" s="408">
        <v>2.29E-2</v>
      </c>
      <c r="E41" s="408">
        <v>2.01E-2</v>
      </c>
      <c r="F41" s="405">
        <f t="shared" ref="F41:F49" si="0">+D41+E41</f>
        <v>4.2999999999999997E-2</v>
      </c>
      <c r="H41" s="13" t="s">
        <v>0</v>
      </c>
      <c r="I41" s="13"/>
      <c r="J41" s="460"/>
      <c r="K41" s="457"/>
      <c r="L41" s="457"/>
      <c r="M41" s="86"/>
      <c r="N41" s="86"/>
      <c r="O41" s="13"/>
      <c r="P41" s="13"/>
      <c r="Q41" s="13"/>
      <c r="R41" s="13"/>
    </row>
    <row r="42" spans="1:18" ht="20.25">
      <c r="A42" s="404" t="s">
        <v>445</v>
      </c>
      <c r="B42" s="63"/>
      <c r="C42" s="192"/>
      <c r="D42" s="408">
        <v>2.4E-2</v>
      </c>
      <c r="E42" s="408">
        <v>0.02</v>
      </c>
      <c r="F42" s="405">
        <f t="shared" si="0"/>
        <v>4.3999999999999997E-2</v>
      </c>
      <c r="H42" s="13"/>
      <c r="I42" s="13"/>
      <c r="J42" s="460"/>
      <c r="K42" s="457"/>
      <c r="L42" s="86"/>
      <c r="M42" s="86"/>
      <c r="N42" s="86"/>
      <c r="O42" s="13"/>
      <c r="P42" s="13"/>
      <c r="Q42" s="13"/>
      <c r="R42" s="13"/>
    </row>
    <row r="43" spans="1:18" ht="20.25">
      <c r="A43" s="406" t="s">
        <v>446</v>
      </c>
      <c r="B43" s="162"/>
      <c r="C43" s="193"/>
      <c r="D43" s="409">
        <v>2.3400000000000001E-2</v>
      </c>
      <c r="E43" s="409">
        <v>2.1000000000000001E-2</v>
      </c>
      <c r="F43" s="407">
        <f t="shared" si="0"/>
        <v>4.4400000000000002E-2</v>
      </c>
      <c r="H43" s="13"/>
      <c r="I43" s="13"/>
      <c r="J43" s="460"/>
      <c r="K43" s="457"/>
      <c r="L43" s="86"/>
      <c r="M43" s="86"/>
      <c r="N43" s="86"/>
      <c r="O43" s="13"/>
      <c r="P43" s="13"/>
      <c r="Q43" s="13"/>
      <c r="R43" s="13"/>
    </row>
    <row r="44" spans="1:18" ht="20.25">
      <c r="A44" s="404" t="s">
        <v>447</v>
      </c>
      <c r="B44" s="63"/>
      <c r="C44" s="192"/>
      <c r="D44" s="405">
        <v>2.3E-2</v>
      </c>
      <c r="E44" s="408">
        <v>1.7999999999999999E-2</v>
      </c>
      <c r="F44" s="405">
        <f t="shared" si="0"/>
        <v>4.0999999999999995E-2</v>
      </c>
      <c r="H44" s="125" t="s">
        <v>0</v>
      </c>
      <c r="I44" s="13"/>
      <c r="J44" s="460"/>
      <c r="K44" s="457"/>
      <c r="L44" s="86"/>
      <c r="M44" s="86"/>
      <c r="N44" s="86"/>
      <c r="O44" s="13"/>
      <c r="P44" s="13"/>
      <c r="Q44" s="13"/>
      <c r="R44" s="13"/>
    </row>
    <row r="45" spans="1:18" ht="20.25">
      <c r="A45" s="404" t="s">
        <v>448</v>
      </c>
      <c r="B45" s="63"/>
      <c r="C45" s="192"/>
      <c r="D45" s="405">
        <v>2.3E-2</v>
      </c>
      <c r="E45" s="408">
        <v>2.1000000000000001E-2</v>
      </c>
      <c r="F45" s="405">
        <f t="shared" si="0"/>
        <v>4.3999999999999997E-2</v>
      </c>
      <c r="H45" s="125" t="s">
        <v>0</v>
      </c>
      <c r="I45" s="13"/>
      <c r="J45" s="460"/>
      <c r="K45" s="457"/>
      <c r="L45" s="86"/>
      <c r="M45" s="86"/>
      <c r="N45" s="86"/>
      <c r="O45" s="13"/>
      <c r="P45" s="13"/>
      <c r="Q45" s="13"/>
      <c r="R45" s="13"/>
    </row>
    <row r="46" spans="1:18" ht="20.25">
      <c r="A46" s="406" t="s">
        <v>449</v>
      </c>
      <c r="B46" s="162"/>
      <c r="C46" s="193"/>
      <c r="D46" s="407">
        <v>2.3E-2</v>
      </c>
      <c r="E46" s="409">
        <v>1.9E-2</v>
      </c>
      <c r="F46" s="407">
        <f t="shared" si="0"/>
        <v>4.1999999999999996E-2</v>
      </c>
      <c r="H46" s="13"/>
      <c r="I46" s="13"/>
      <c r="J46" s="460"/>
      <c r="K46" s="457"/>
      <c r="L46" s="86"/>
      <c r="M46" s="86"/>
      <c r="N46" s="86"/>
      <c r="O46" s="13"/>
      <c r="P46" s="13"/>
      <c r="Q46" s="13"/>
      <c r="R46" s="13"/>
    </row>
    <row r="47" spans="1:18" ht="20.25">
      <c r="A47" s="404" t="s">
        <v>450</v>
      </c>
      <c r="B47" s="63"/>
      <c r="C47" s="192"/>
      <c r="D47" s="405">
        <v>2.3E-2</v>
      </c>
      <c r="E47" s="408">
        <v>2.1000000000000001E-2</v>
      </c>
      <c r="F47" s="405">
        <f t="shared" si="0"/>
        <v>4.3999999999999997E-2</v>
      </c>
      <c r="H47" s="13"/>
      <c r="I47" s="13"/>
      <c r="J47" s="460"/>
      <c r="K47" s="457"/>
      <c r="L47" s="86"/>
      <c r="M47" s="86"/>
      <c r="N47" s="86"/>
      <c r="O47" s="13"/>
      <c r="P47" s="13"/>
      <c r="Q47" s="13"/>
      <c r="R47" s="13"/>
    </row>
    <row r="48" spans="1:18" ht="20.25">
      <c r="A48" s="404" t="s">
        <v>451</v>
      </c>
      <c r="B48" s="63"/>
      <c r="C48" s="192"/>
      <c r="D48" s="429" t="s">
        <v>507</v>
      </c>
      <c r="E48" s="408">
        <v>2.1999999999999999E-2</v>
      </c>
      <c r="F48" s="429" t="s">
        <v>507</v>
      </c>
      <c r="H48" s="13"/>
      <c r="I48" s="13"/>
      <c r="J48" s="460"/>
      <c r="K48" s="457"/>
      <c r="L48" s="86"/>
      <c r="M48" s="86"/>
      <c r="N48" s="86"/>
      <c r="O48" s="13"/>
      <c r="P48" s="13"/>
      <c r="Q48" s="13"/>
      <c r="R48" s="13"/>
    </row>
    <row r="49" spans="1:18" ht="20.25">
      <c r="A49" s="406" t="s">
        <v>452</v>
      </c>
      <c r="B49" s="162"/>
      <c r="C49" s="193"/>
      <c r="D49" s="407">
        <v>0.02</v>
      </c>
      <c r="E49" s="407">
        <v>1.7999999999999999E-2</v>
      </c>
      <c r="F49" s="407">
        <f t="shared" si="0"/>
        <v>3.7999999999999999E-2</v>
      </c>
      <c r="H49" s="13"/>
      <c r="I49" s="13"/>
      <c r="J49" s="460"/>
      <c r="K49" s="461"/>
      <c r="L49" s="86"/>
      <c r="M49" s="86"/>
      <c r="N49" s="86"/>
      <c r="O49" s="13"/>
      <c r="P49" s="13"/>
      <c r="Q49" s="13"/>
      <c r="R49" s="13"/>
    </row>
    <row r="50" spans="1:18" ht="20.25">
      <c r="A50" s="111"/>
      <c r="B50" s="120"/>
      <c r="C50" s="120" t="s">
        <v>56</v>
      </c>
      <c r="D50" s="410">
        <f>MAX(D38:D49)</f>
        <v>2.4199999999999999E-2</v>
      </c>
      <c r="E50" s="410">
        <f>MAX(E38:E49)</f>
        <v>2.1999999999999999E-2</v>
      </c>
      <c r="F50" s="410">
        <f>MAX(F38:F49)</f>
        <v>4.4400000000000002E-2</v>
      </c>
      <c r="G50" s="234"/>
      <c r="H50" s="13"/>
      <c r="I50" s="13"/>
      <c r="L50" s="13"/>
      <c r="M50" s="13"/>
      <c r="N50" s="13"/>
      <c r="Q50" s="13"/>
      <c r="R50" s="13"/>
    </row>
    <row r="51" spans="1:18" ht="18.75" customHeight="1">
      <c r="A51" s="111"/>
      <c r="B51" s="120"/>
      <c r="C51" s="120" t="s">
        <v>57</v>
      </c>
      <c r="D51" s="410">
        <f>MIN(D38:D49)</f>
        <v>0.02</v>
      </c>
      <c r="E51" s="410">
        <f>MIN(E38:E49)</f>
        <v>1.7999999999999999E-2</v>
      </c>
      <c r="F51" s="411">
        <f>MIN(F38:F49)</f>
        <v>3.7999999999999999E-2</v>
      </c>
      <c r="G51" s="235"/>
      <c r="H51" s="13"/>
      <c r="I51" s="13"/>
      <c r="L51" s="13"/>
      <c r="M51" s="13"/>
      <c r="N51" s="13"/>
      <c r="O51" s="13"/>
      <c r="R51" s="13"/>
    </row>
    <row r="52" spans="1:18" ht="20.25">
      <c r="A52" s="111"/>
      <c r="B52" s="120"/>
      <c r="C52" s="120" t="s">
        <v>18</v>
      </c>
      <c r="D52" s="412">
        <f>MEDIAN(D38:D49)</f>
        <v>2.3E-2</v>
      </c>
      <c r="E52" s="412">
        <f>MEDIAN(E38:E49)</f>
        <v>2.01E-2</v>
      </c>
      <c r="F52" s="405">
        <f t="shared" ref="F52:F53" si="1">+D52+E52</f>
        <v>4.3099999999999999E-2</v>
      </c>
      <c r="G52" s="235"/>
      <c r="H52" s="13"/>
      <c r="I52" s="13"/>
      <c r="L52" s="13"/>
      <c r="M52" s="13"/>
      <c r="N52" s="13"/>
      <c r="O52" s="13"/>
      <c r="R52" s="13"/>
    </row>
    <row r="53" spans="1:18" ht="20.25">
      <c r="A53" s="111"/>
      <c r="B53" s="120"/>
      <c r="C53" s="120" t="s">
        <v>19</v>
      </c>
      <c r="D53" s="409">
        <f>AVERAGE(D38:D49)</f>
        <v>2.2845454545454544E-2</v>
      </c>
      <c r="E53" s="409">
        <f>AVERAGE(E38:E49)</f>
        <v>2.0011111111111108E-2</v>
      </c>
      <c r="F53" s="407">
        <f t="shared" si="1"/>
        <v>4.2856565656565648E-2</v>
      </c>
      <c r="G53" s="234"/>
      <c r="H53" s="13"/>
      <c r="I53" s="13"/>
      <c r="L53" s="13"/>
      <c r="M53" s="13"/>
      <c r="N53" s="13"/>
      <c r="O53" s="13"/>
      <c r="R53" s="13"/>
    </row>
    <row r="54" spans="1:18" ht="18.75">
      <c r="A54" s="13"/>
      <c r="B54" s="15"/>
      <c r="D54" s="203"/>
      <c r="E54" s="203"/>
      <c r="F54" s="203"/>
      <c r="G54" s="234"/>
      <c r="H54" s="13"/>
      <c r="I54" s="13"/>
      <c r="L54" s="13"/>
      <c r="M54" s="13"/>
      <c r="N54" s="13"/>
      <c r="O54" s="13"/>
    </row>
    <row r="55" spans="1:18" ht="16.5" customHeight="1" thickBot="1">
      <c r="A55" s="13"/>
      <c r="B55" s="15"/>
      <c r="D55" s="203"/>
      <c r="E55" s="203"/>
      <c r="F55" s="203"/>
      <c r="L55" s="13"/>
      <c r="M55" s="13"/>
      <c r="N55" s="13"/>
      <c r="O55" s="13"/>
    </row>
    <row r="56" spans="1:18" ht="27" thickBot="1">
      <c r="A56" s="13"/>
      <c r="B56" s="127"/>
      <c r="C56" s="49" t="s">
        <v>223</v>
      </c>
      <c r="D56" s="449">
        <v>2.2800000000000001E-2</v>
      </c>
      <c r="E56" s="449">
        <v>0.02</v>
      </c>
      <c r="F56" s="462">
        <v>4.2900000000000001E-2</v>
      </c>
      <c r="L56" s="13"/>
      <c r="M56" s="13"/>
      <c r="N56" s="13"/>
      <c r="O56" s="13"/>
    </row>
    <row r="57" spans="1:18" ht="16.5" customHeight="1">
      <c r="L57" s="13"/>
      <c r="N57" s="13"/>
    </row>
    <row r="58" spans="1:18" ht="16.5">
      <c r="A58" s="13"/>
      <c r="B58" s="13"/>
      <c r="C58" s="13"/>
      <c r="D58" s="13"/>
      <c r="E58" s="13"/>
      <c r="F58" s="13"/>
      <c r="G58" s="13"/>
      <c r="I58" s="13"/>
      <c r="L58" s="13"/>
      <c r="N58" s="13"/>
    </row>
    <row r="59" spans="1:18" ht="19.5" customHeight="1">
      <c r="A59" s="431" t="s">
        <v>453</v>
      </c>
      <c r="B59" s="413"/>
      <c r="C59" s="414"/>
      <c r="D59" s="13"/>
      <c r="E59" s="13"/>
      <c r="F59" s="13"/>
      <c r="I59" s="13"/>
      <c r="L59" s="13"/>
      <c r="M59" s="13"/>
      <c r="N59" s="13"/>
    </row>
    <row r="60" spans="1:18" ht="19.5" customHeight="1">
      <c r="A60" s="431" t="s">
        <v>508</v>
      </c>
      <c r="B60" s="413"/>
      <c r="C60" s="413"/>
      <c r="D60" s="413"/>
      <c r="E60" s="413"/>
      <c r="F60" s="413"/>
      <c r="G60" s="432"/>
      <c r="I60" s="13"/>
      <c r="L60" s="13"/>
      <c r="M60" s="13"/>
      <c r="N60" s="13"/>
    </row>
    <row r="61" spans="1:18" ht="19.5" customHeight="1">
      <c r="A61" s="433" t="s">
        <v>509</v>
      </c>
      <c r="B61" s="13"/>
      <c r="C61" s="13"/>
      <c r="D61" s="13"/>
      <c r="E61" s="13"/>
      <c r="F61" s="13"/>
      <c r="G61" s="434"/>
      <c r="I61" s="13"/>
      <c r="L61" s="13"/>
      <c r="M61" s="13"/>
      <c r="N61" s="13"/>
      <c r="O61" s="463"/>
    </row>
    <row r="62" spans="1:18" ht="19.5" customHeight="1">
      <c r="A62" s="433" t="s">
        <v>510</v>
      </c>
      <c r="B62" s="13"/>
      <c r="C62" s="13"/>
      <c r="D62" s="13"/>
      <c r="E62" s="13"/>
      <c r="F62" s="13"/>
      <c r="G62" s="434"/>
      <c r="I62" s="13"/>
      <c r="L62" s="13"/>
      <c r="M62" s="13"/>
      <c r="N62" s="13"/>
      <c r="O62" s="463"/>
      <c r="P62" s="86"/>
      <c r="Q62" s="13"/>
      <c r="R62" s="13"/>
    </row>
    <row r="63" spans="1:18" ht="19.5" customHeight="1">
      <c r="A63" s="435" t="s">
        <v>511</v>
      </c>
      <c r="B63" s="415"/>
      <c r="C63" s="415"/>
      <c r="D63" s="415"/>
      <c r="E63" s="415"/>
      <c r="F63" s="415"/>
      <c r="G63" s="436"/>
      <c r="I63" s="13"/>
      <c r="L63" s="13"/>
      <c r="M63" s="13"/>
      <c r="N63" s="13"/>
      <c r="O63" s="463"/>
      <c r="P63" s="86"/>
      <c r="Q63" s="13"/>
      <c r="R63" s="13"/>
    </row>
    <row r="64" spans="1:18" ht="17.25">
      <c r="A64" s="111"/>
      <c r="B64" s="13"/>
      <c r="C64" s="13"/>
      <c r="D64" s="13"/>
      <c r="E64" s="13"/>
      <c r="F64" s="13"/>
      <c r="I64" s="13"/>
      <c r="L64" s="13"/>
      <c r="M64" s="13"/>
      <c r="N64" s="13"/>
      <c r="O64" s="13"/>
      <c r="P64" s="13"/>
      <c r="Q64" s="13"/>
      <c r="R64" s="13"/>
    </row>
    <row r="65" spans="1:18" ht="15.6" customHeight="1">
      <c r="A65" s="437" t="s">
        <v>264</v>
      </c>
      <c r="B65" s="416"/>
      <c r="C65" s="413"/>
      <c r="D65" s="413"/>
      <c r="E65" s="413"/>
      <c r="F65" s="414"/>
      <c r="G65" s="13"/>
      <c r="I65" s="13"/>
      <c r="L65" s="13"/>
      <c r="M65" s="13"/>
      <c r="N65" s="13"/>
      <c r="O65" s="13"/>
      <c r="P65" s="13"/>
      <c r="Q65" s="13"/>
      <c r="R65" s="13"/>
    </row>
    <row r="66" spans="1:18" ht="15.6" customHeight="1">
      <c r="A66" s="438" t="s">
        <v>454</v>
      </c>
      <c r="B66" s="13"/>
      <c r="C66" s="13"/>
      <c r="E66" s="13"/>
      <c r="F66" s="283"/>
      <c r="G66" s="13"/>
      <c r="I66" s="13"/>
      <c r="L66" s="13"/>
      <c r="M66" s="13"/>
      <c r="N66" s="13"/>
      <c r="O66" s="13"/>
      <c r="P66" s="13"/>
      <c r="Q66" s="13"/>
      <c r="R66" s="13"/>
    </row>
    <row r="67" spans="1:18" ht="15.6" customHeight="1">
      <c r="A67" s="439" t="s">
        <v>265</v>
      </c>
      <c r="B67" s="415"/>
      <c r="C67" s="415"/>
      <c r="D67" s="415"/>
      <c r="E67" s="415"/>
      <c r="F67" s="284"/>
      <c r="G67" s="13"/>
      <c r="I67" s="13" t="s">
        <v>0</v>
      </c>
      <c r="L67" s="13"/>
      <c r="M67" s="13"/>
      <c r="N67" s="13"/>
      <c r="O67" s="13"/>
      <c r="P67" s="13"/>
      <c r="Q67" s="13"/>
      <c r="R67" s="13"/>
    </row>
    <row r="68" spans="1:18" ht="16.5">
      <c r="A68" s="367"/>
      <c r="B68" s="13"/>
      <c r="C68" s="13"/>
      <c r="D68" s="13"/>
      <c r="E68" s="13"/>
      <c r="F68" s="13"/>
      <c r="G68" s="13"/>
      <c r="I68" s="13"/>
      <c r="L68" s="13"/>
      <c r="M68" s="13"/>
      <c r="N68" s="13"/>
      <c r="O68" s="13"/>
      <c r="P68" s="13"/>
      <c r="Q68" s="13"/>
      <c r="R68" s="13"/>
    </row>
    <row r="69" spans="1:18" ht="17.25">
      <c r="A69" s="141" t="s">
        <v>455</v>
      </c>
      <c r="B69" s="129"/>
      <c r="C69" s="129"/>
      <c r="D69" s="129"/>
      <c r="E69" s="130"/>
      <c r="F69" s="129"/>
      <c r="G69" s="129"/>
      <c r="H69" s="129"/>
      <c r="I69" s="13"/>
      <c r="L69" s="13"/>
      <c r="M69" s="13"/>
      <c r="N69" s="13"/>
      <c r="O69" s="13"/>
      <c r="P69" s="13"/>
      <c r="Q69" s="13"/>
      <c r="R69" s="13"/>
    </row>
    <row r="70" spans="1:18" ht="17.25">
      <c r="A70" s="141"/>
      <c r="B70" s="129"/>
      <c r="C70" s="129"/>
      <c r="D70" s="129"/>
      <c r="E70" s="130"/>
      <c r="F70" s="129"/>
      <c r="G70" s="129"/>
      <c r="H70" s="129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6.5">
      <c r="A71" s="417" t="s">
        <v>456</v>
      </c>
      <c r="B71" s="129"/>
      <c r="C71" s="129"/>
      <c r="D71" s="129"/>
      <c r="E71" s="130"/>
      <c r="F71" s="129"/>
      <c r="G71" s="129"/>
      <c r="H71" s="129"/>
      <c r="I71" s="13"/>
    </row>
    <row r="72" spans="1:18" ht="16.5">
      <c r="A72" s="418" t="s">
        <v>512</v>
      </c>
      <c r="B72" s="129"/>
      <c r="C72" s="129"/>
      <c r="D72" s="129"/>
      <c r="E72" s="130"/>
      <c r="F72" s="129"/>
      <c r="G72" s="129"/>
      <c r="H72" s="129"/>
      <c r="I72" s="13"/>
    </row>
    <row r="73" spans="1:18" ht="16.5">
      <c r="A73" s="145" t="s">
        <v>367</v>
      </c>
      <c r="B73" s="399"/>
      <c r="C73" s="129"/>
      <c r="D73" s="129"/>
      <c r="E73" s="130"/>
      <c r="F73" s="129"/>
      <c r="G73" s="129"/>
      <c r="H73" s="129"/>
      <c r="I73" s="13"/>
    </row>
    <row r="74" spans="1:18" ht="16.5">
      <c r="A74" s="145" t="s">
        <v>517</v>
      </c>
      <c r="B74" s="129"/>
      <c r="C74" s="129"/>
      <c r="D74" s="129"/>
      <c r="E74" s="130"/>
      <c r="F74" s="129"/>
      <c r="G74" s="129"/>
      <c r="H74" s="129"/>
      <c r="I74" s="13"/>
    </row>
    <row r="75" spans="1:18">
      <c r="A75" s="145"/>
    </row>
    <row r="76" spans="1:18" ht="16.5">
      <c r="A76" s="417" t="s">
        <v>457</v>
      </c>
    </row>
    <row r="77" spans="1:18">
      <c r="A77" s="419" t="s">
        <v>500</v>
      </c>
    </row>
    <row r="78" spans="1:18" ht="16.5">
      <c r="A78" s="419" t="s">
        <v>501</v>
      </c>
      <c r="B78" s="396"/>
    </row>
    <row r="79" spans="1:18" ht="16.5">
      <c r="A79" s="467" t="s">
        <v>158</v>
      </c>
      <c r="B79" s="129"/>
      <c r="C79" s="129"/>
      <c r="D79" s="129"/>
      <c r="E79" s="130"/>
      <c r="F79" s="129"/>
      <c r="G79" s="129"/>
      <c r="H79" s="129"/>
      <c r="I79" s="13"/>
    </row>
    <row r="80" spans="1:18" ht="16.5">
      <c r="A80" s="128"/>
      <c r="B80" s="129"/>
      <c r="C80" s="129"/>
      <c r="D80" s="129"/>
      <c r="E80" s="130"/>
      <c r="F80" s="129"/>
      <c r="G80" s="129"/>
      <c r="H80" s="129"/>
      <c r="I80" s="13"/>
    </row>
    <row r="81" spans="1:9" ht="16.5">
      <c r="A81" s="417" t="s">
        <v>458</v>
      </c>
      <c r="B81" s="129"/>
      <c r="C81" s="129"/>
      <c r="D81" s="129"/>
      <c r="E81" s="130"/>
      <c r="F81" s="129"/>
      <c r="G81" s="129"/>
      <c r="H81" s="129"/>
      <c r="I81" s="13"/>
    </row>
    <row r="82" spans="1:9" ht="16.5">
      <c r="A82" s="419" t="s">
        <v>493</v>
      </c>
      <c r="B82" s="399"/>
      <c r="C82" s="399"/>
      <c r="D82" s="129"/>
      <c r="E82" s="130"/>
      <c r="F82" s="129"/>
      <c r="G82" s="129"/>
      <c r="H82" s="129"/>
      <c r="I82" s="13"/>
    </row>
    <row r="83" spans="1:9" ht="16.5">
      <c r="A83" s="467" t="s">
        <v>159</v>
      </c>
      <c r="B83" s="129"/>
      <c r="C83" s="129"/>
      <c r="D83" s="129"/>
      <c r="E83" s="130"/>
      <c r="F83" s="129"/>
      <c r="G83" s="129"/>
      <c r="H83" s="129"/>
      <c r="I83" s="13"/>
    </row>
    <row r="84" spans="1:9" ht="16.5">
      <c r="A84" s="145"/>
      <c r="B84" s="129"/>
      <c r="C84" s="129"/>
      <c r="D84" s="129"/>
      <c r="E84" s="130"/>
      <c r="F84" s="129"/>
      <c r="G84" s="129"/>
      <c r="H84" s="129"/>
      <c r="I84" s="13"/>
    </row>
    <row r="85" spans="1:9" ht="16.5">
      <c r="A85" s="417" t="s">
        <v>459</v>
      </c>
      <c r="B85" s="129"/>
      <c r="D85" s="129" t="s">
        <v>0</v>
      </c>
      <c r="E85" s="130"/>
      <c r="F85" s="129"/>
      <c r="G85" s="129"/>
      <c r="H85" s="129"/>
      <c r="I85" s="13"/>
    </row>
    <row r="86" spans="1:9" ht="16.5">
      <c r="A86" s="422" t="s">
        <v>494</v>
      </c>
      <c r="G86" s="129"/>
      <c r="H86" s="129"/>
      <c r="I86" s="129"/>
    </row>
    <row r="87" spans="1:9" ht="16.5">
      <c r="A87" s="398" t="s">
        <v>460</v>
      </c>
      <c r="C87" s="129"/>
      <c r="E87" s="130"/>
      <c r="F87" s="129"/>
      <c r="G87" s="129"/>
      <c r="H87" s="129"/>
      <c r="I87" s="13"/>
    </row>
    <row r="88" spans="1:9" ht="16.5">
      <c r="A88" s="421" t="s">
        <v>495</v>
      </c>
      <c r="B88" s="421"/>
      <c r="C88" s="129"/>
      <c r="D88" s="421"/>
      <c r="E88" s="130"/>
      <c r="F88" s="129"/>
      <c r="G88" s="129"/>
      <c r="H88" s="129"/>
      <c r="I88" s="13"/>
    </row>
    <row r="89" spans="1:9" ht="16.5">
      <c r="A89" s="467" t="s">
        <v>496</v>
      </c>
      <c r="B89" s="421"/>
      <c r="C89" s="129"/>
      <c r="D89" s="421"/>
      <c r="E89" s="130"/>
      <c r="F89" s="129"/>
      <c r="G89" s="129"/>
      <c r="H89" s="129"/>
      <c r="I89" s="13"/>
    </row>
    <row r="90" spans="1:9" ht="16.5">
      <c r="A90" s="467" t="s">
        <v>461</v>
      </c>
      <c r="B90" s="129"/>
      <c r="C90" s="129"/>
      <c r="D90" s="129"/>
      <c r="E90" s="130"/>
      <c r="F90" s="129"/>
      <c r="G90" s="129"/>
      <c r="H90" s="129"/>
      <c r="I90" s="13"/>
    </row>
    <row r="91" spans="1:9" ht="16.5">
      <c r="A91" s="145"/>
      <c r="B91" s="129"/>
      <c r="D91" s="129"/>
      <c r="E91" s="130"/>
      <c r="F91" s="129"/>
      <c r="G91" s="129"/>
      <c r="H91" s="129"/>
      <c r="I91" s="13"/>
    </row>
    <row r="92" spans="1:9" ht="16.5">
      <c r="A92" s="417" t="s">
        <v>462</v>
      </c>
      <c r="B92" s="129"/>
      <c r="D92" s="129"/>
      <c r="E92" s="130"/>
      <c r="F92" s="129"/>
      <c r="G92" s="129"/>
      <c r="H92" s="129"/>
      <c r="I92" s="13"/>
    </row>
    <row r="93" spans="1:9" ht="16.5">
      <c r="A93" s="419" t="s">
        <v>497</v>
      </c>
      <c r="B93" s="129"/>
      <c r="D93" s="129"/>
      <c r="E93" s="130"/>
      <c r="F93" s="129"/>
      <c r="G93" s="129"/>
      <c r="H93" s="129"/>
      <c r="I93" s="13"/>
    </row>
    <row r="94" spans="1:9" ht="16.5">
      <c r="A94" s="467" t="s">
        <v>463</v>
      </c>
      <c r="B94" s="129"/>
      <c r="C94" s="129"/>
      <c r="D94" s="129"/>
      <c r="E94" s="130"/>
      <c r="F94" s="129"/>
      <c r="G94" s="129"/>
      <c r="H94" s="129"/>
      <c r="I94" s="13"/>
    </row>
    <row r="95" spans="1:9" ht="16.5">
      <c r="A95" s="420"/>
      <c r="C95" s="129"/>
      <c r="D95" s="129"/>
      <c r="E95" s="130"/>
      <c r="F95" s="129"/>
      <c r="G95" s="129"/>
      <c r="H95" s="129"/>
      <c r="I95" s="13"/>
    </row>
    <row r="96" spans="1:9" ht="16.5">
      <c r="A96" s="417" t="s">
        <v>464</v>
      </c>
      <c r="B96" s="129"/>
      <c r="C96" s="129"/>
      <c r="D96" s="129"/>
      <c r="E96" s="130"/>
      <c r="F96" s="129"/>
      <c r="G96" s="129"/>
      <c r="H96" s="129"/>
      <c r="I96" s="13"/>
    </row>
    <row r="97" spans="1:9" ht="16.5">
      <c r="A97" s="423" t="s">
        <v>502</v>
      </c>
      <c r="B97" s="129"/>
      <c r="C97" s="129"/>
      <c r="D97" s="129"/>
      <c r="E97" s="130"/>
      <c r="F97" s="129"/>
      <c r="G97" s="129"/>
      <c r="H97" s="129"/>
      <c r="I97" s="13"/>
    </row>
    <row r="98" spans="1:9" ht="16.5">
      <c r="A98" s="424" t="s">
        <v>465</v>
      </c>
      <c r="B98" s="425"/>
      <c r="C98" s="129"/>
      <c r="D98" s="129"/>
      <c r="E98" s="130"/>
      <c r="F98" s="129"/>
      <c r="G98" s="129"/>
      <c r="H98" s="129"/>
      <c r="I98" s="13"/>
    </row>
    <row r="99" spans="1:9" ht="16.5">
      <c r="A99" s="467" t="s">
        <v>466</v>
      </c>
      <c r="B99" s="129"/>
      <c r="C99" s="129"/>
      <c r="D99" s="129"/>
      <c r="E99" s="130"/>
      <c r="F99" s="129"/>
      <c r="G99" s="129"/>
      <c r="H99" s="129"/>
      <c r="I99" s="13"/>
    </row>
    <row r="100" spans="1:9" ht="16.5">
      <c r="A100" s="426"/>
      <c r="B100" s="129"/>
      <c r="C100" s="129"/>
      <c r="D100" s="129"/>
      <c r="E100" s="130"/>
      <c r="F100" s="129"/>
      <c r="G100" s="129"/>
      <c r="H100" s="129"/>
      <c r="I100" s="13"/>
    </row>
    <row r="101" spans="1:9" ht="16.5">
      <c r="A101" s="417" t="s">
        <v>467</v>
      </c>
      <c r="B101" s="129"/>
      <c r="C101" s="129"/>
      <c r="D101" s="129"/>
      <c r="E101" s="130"/>
      <c r="F101" s="129"/>
      <c r="G101" s="129"/>
      <c r="H101" s="129"/>
      <c r="I101" s="13"/>
    </row>
    <row r="102" spans="1:9" ht="16.5">
      <c r="A102" s="423" t="s">
        <v>502</v>
      </c>
      <c r="B102" s="129"/>
      <c r="C102" s="129"/>
      <c r="D102" s="129"/>
      <c r="E102" s="130"/>
      <c r="F102" s="129"/>
      <c r="G102" s="129"/>
      <c r="H102" s="129"/>
      <c r="I102" s="13"/>
    </row>
    <row r="103" spans="1:9" ht="16.5">
      <c r="A103" s="424" t="s">
        <v>513</v>
      </c>
      <c r="B103" s="129"/>
      <c r="C103" s="129"/>
      <c r="D103" s="129"/>
      <c r="E103" s="130"/>
      <c r="F103" s="129"/>
      <c r="G103" s="129"/>
      <c r="H103" s="129"/>
      <c r="I103" s="13"/>
    </row>
    <row r="104" spans="1:9" ht="16.5">
      <c r="A104" s="421" t="s">
        <v>503</v>
      </c>
      <c r="B104" s="129"/>
      <c r="C104" s="129"/>
      <c r="D104" s="129"/>
      <c r="E104" s="130"/>
      <c r="F104" s="129"/>
      <c r="G104" s="129"/>
      <c r="H104" s="129"/>
      <c r="I104" s="13"/>
    </row>
    <row r="105" spans="1:9">
      <c r="A105" s="426"/>
    </row>
    <row r="106" spans="1:9" ht="16.5">
      <c r="A106" s="397" t="s">
        <v>516</v>
      </c>
    </row>
    <row r="107" spans="1:9" ht="16.5">
      <c r="A107" s="421" t="s">
        <v>475</v>
      </c>
    </row>
    <row r="108" spans="1:9">
      <c r="A108" s="467" t="s">
        <v>516</v>
      </c>
    </row>
  </sheetData>
  <hyperlinks>
    <hyperlink ref="A73" r:id="rId1" xr:uid="{F615029D-75D0-461C-9303-E0ED9F304E96}"/>
    <hyperlink ref="A79" r:id="rId2" xr:uid="{762A337B-6E54-486E-8CD6-E818C518378D}"/>
    <hyperlink ref="A83" r:id="rId3" xr:uid="{3F98C98C-4459-4417-8C07-7552681A8CAA}"/>
    <hyperlink ref="A94" r:id="rId4" xr:uid="{3D8B950C-CD29-4F5A-A3DA-AFB266F3D126}"/>
    <hyperlink ref="A99" r:id="rId5" xr:uid="{5A8F884F-9FBC-4103-BE03-FD0C470A048C}"/>
    <hyperlink ref="A104" r:id="rId6" display="https://www.federalreserve.gov/monetarypolicy/files/fomcprojtabl20241218.pd" xr:uid="{8E1D8015-3B7C-4F51-AA29-8F8E9DD230E5}"/>
    <hyperlink ref="A89" r:id="rId7" xr:uid="{3A6682F0-E675-449A-B9F3-9A5603DCD156}"/>
    <hyperlink ref="A88" r:id="rId8" display="https://www.cbo.gov/system/files/2025-01/60870-Outlook-2025.pdf" xr:uid="{8CC4DAB2-160A-42D8-BC90-374A928DF559}"/>
    <hyperlink ref="A90" r:id="rId9" xr:uid="{132B989A-AA47-4550-8640-6CE47BC734B7}"/>
    <hyperlink ref="A87" r:id="rId10" location="4" display="https://www.cbo.gov/data/budget-economic-data - 4" xr:uid="{89AB412C-98DC-4C5A-8576-94ED3E037FE3}"/>
    <hyperlink ref="A67" r:id="rId11" xr:uid="{C7D4882A-2BAB-469E-B48D-92C88739D362}"/>
    <hyperlink ref="A107" r:id="rId12" xr:uid="{94D06F25-CC41-490E-8124-DF3EAFE980C9}"/>
    <hyperlink ref="A108" r:id="rId13" xr:uid="{A64044D5-8B61-4775-A0AA-65158A6655EE}"/>
    <hyperlink ref="A74" r:id="rId14" xr:uid="{7AC053EB-F9FD-494E-84A0-1EC1DC6DEA46}"/>
  </hyperlinks>
  <pageMargins left="0.25" right="0.25" top="0.75" bottom="0.75" header="0.3" footer="0.3"/>
  <pageSetup scale="27" fitToWidth="0" orientation="portrait" r:id="rId1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6309-BD0A-46E7-99FD-8E3581EFB633}">
  <sheetPr>
    <tabColor rgb="FF92D050"/>
    <pageSetUpPr fitToPage="1"/>
  </sheetPr>
  <dimension ref="A1:I104"/>
  <sheetViews>
    <sheetView view="pageBreakPreview" topLeftCell="A9" zoomScale="70" zoomScaleNormal="80" zoomScaleSheetLayoutView="70" workbookViewId="0">
      <selection activeCell="D52" sqref="D52"/>
    </sheetView>
  </sheetViews>
  <sheetFormatPr defaultRowHeight="15"/>
  <cols>
    <col min="1" max="1" width="45.7109375" customWidth="1"/>
    <col min="2" max="2" width="16.85546875" customWidth="1"/>
    <col min="3" max="3" width="72.140625" customWidth="1"/>
    <col min="4" max="4" width="34.5703125" customWidth="1"/>
    <col min="5" max="5" width="21.7109375" customWidth="1"/>
    <col min="6" max="6" width="18.85546875" customWidth="1"/>
    <col min="7" max="7" width="24.85546875" customWidth="1"/>
    <col min="8" max="8" width="18" customWidth="1"/>
    <col min="9" max="9" width="20.85546875" customWidth="1"/>
    <col min="10" max="10" width="19" customWidth="1"/>
    <col min="11" max="11" width="17.28515625" customWidth="1"/>
    <col min="12" max="12" width="24.140625" customWidth="1"/>
  </cols>
  <sheetData>
    <row r="1" spans="1:9" ht="26.25">
      <c r="A1" s="25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7.25">
      <c r="A2" s="63" t="s">
        <v>9</v>
      </c>
      <c r="B2" s="13"/>
      <c r="C2" s="13"/>
      <c r="D2" s="13"/>
      <c r="E2" s="13"/>
      <c r="F2" s="13"/>
      <c r="G2" s="13"/>
      <c r="H2" s="13"/>
      <c r="I2" s="13"/>
    </row>
    <row r="3" spans="1:9" ht="16.5">
      <c r="A3" s="44" t="s">
        <v>485</v>
      </c>
      <c r="B3" s="13"/>
      <c r="C3" s="13"/>
      <c r="D3" s="13"/>
      <c r="E3" s="13"/>
      <c r="F3" s="13"/>
      <c r="G3" s="13"/>
      <c r="H3" s="13"/>
      <c r="I3" s="13"/>
    </row>
    <row r="4" spans="1:9" ht="16.5">
      <c r="A4" s="13"/>
      <c r="B4" s="13"/>
      <c r="C4" s="13"/>
      <c r="D4" s="13"/>
      <c r="E4" s="13"/>
      <c r="F4" s="13"/>
      <c r="G4" s="13"/>
      <c r="H4" s="13"/>
      <c r="I4" s="13"/>
    </row>
    <row r="5" spans="1:9" ht="18" thickBot="1">
      <c r="A5" s="63"/>
      <c r="B5" s="13"/>
      <c r="C5" s="13"/>
      <c r="D5" s="13"/>
      <c r="E5" s="13"/>
      <c r="F5" s="13"/>
      <c r="G5" s="13"/>
      <c r="H5" s="13"/>
      <c r="I5" s="13"/>
    </row>
    <row r="6" spans="1:9" ht="21" thickBot="1">
      <c r="A6" s="237" t="str">
        <f>+'S&amp;D'!A12</f>
        <v>Natural Gas Utility Distribution</v>
      </c>
      <c r="B6" s="176"/>
      <c r="C6" s="13"/>
      <c r="D6" s="13"/>
      <c r="E6" s="13"/>
      <c r="F6" s="13"/>
      <c r="G6" s="13"/>
      <c r="H6" s="13"/>
      <c r="I6" s="13"/>
    </row>
    <row r="7" spans="1:9" ht="18" thickBot="1">
      <c r="A7" s="63"/>
      <c r="B7" s="13"/>
      <c r="C7" s="30"/>
      <c r="E7" s="13"/>
      <c r="F7" s="13"/>
      <c r="G7" s="13"/>
      <c r="H7" s="13"/>
      <c r="I7" s="13"/>
    </row>
    <row r="8" spans="1:9" ht="26.25">
      <c r="B8" s="13"/>
      <c r="C8" s="32" t="s">
        <v>166</v>
      </c>
      <c r="E8" s="13"/>
      <c r="F8" s="13"/>
      <c r="G8" s="13"/>
      <c r="H8" s="13"/>
      <c r="I8" s="13"/>
    </row>
    <row r="9" spans="1:9" ht="21" thickBot="1">
      <c r="A9" s="31"/>
      <c r="B9" s="13"/>
      <c r="C9" s="37" t="s">
        <v>498</v>
      </c>
      <c r="E9" s="13"/>
      <c r="F9" s="13"/>
      <c r="G9" s="13"/>
      <c r="H9" s="13"/>
      <c r="I9" s="13"/>
    </row>
    <row r="10" spans="1:9" ht="15" customHeight="1">
      <c r="A10" s="31"/>
      <c r="B10" s="13"/>
      <c r="C10" s="13"/>
      <c r="D10" s="13"/>
      <c r="E10" s="13"/>
      <c r="F10" s="13"/>
      <c r="G10" s="13"/>
      <c r="H10" s="13"/>
      <c r="I10" s="13"/>
    </row>
    <row r="11" spans="1:9" ht="17.25" thickBot="1">
      <c r="A11" s="13"/>
      <c r="B11" s="13"/>
      <c r="C11" s="13"/>
      <c r="D11" s="13"/>
      <c r="E11" s="13"/>
      <c r="F11" s="13"/>
      <c r="G11" s="13"/>
      <c r="H11" s="13"/>
      <c r="I11" s="13"/>
    </row>
    <row r="12" spans="1:9" ht="16.5">
      <c r="A12" s="13"/>
      <c r="B12" s="13"/>
      <c r="C12" s="79" t="s">
        <v>0</v>
      </c>
      <c r="D12" s="79" t="s">
        <v>201</v>
      </c>
      <c r="E12" s="13"/>
      <c r="F12" s="13"/>
      <c r="G12" s="13"/>
      <c r="H12" s="13"/>
      <c r="I12" s="13"/>
    </row>
    <row r="13" spans="1:9" ht="21" thickBot="1">
      <c r="A13" s="13"/>
      <c r="B13" s="13"/>
      <c r="C13" s="312" t="s">
        <v>165</v>
      </c>
      <c r="D13" s="81" t="s">
        <v>276</v>
      </c>
      <c r="E13" s="13"/>
      <c r="F13" s="13"/>
      <c r="G13" s="13"/>
      <c r="H13" s="13"/>
      <c r="I13" s="13"/>
    </row>
    <row r="14" spans="1:9" ht="17.25">
      <c r="A14" s="13"/>
      <c r="B14" s="13"/>
      <c r="C14" s="343" t="s">
        <v>408</v>
      </c>
      <c r="D14" s="346">
        <f>+CAPM!F16</f>
        <v>7.1031999999999998E-2</v>
      </c>
      <c r="E14" s="348"/>
      <c r="F14" s="13"/>
      <c r="G14" s="13"/>
      <c r="H14" s="13"/>
      <c r="I14" s="13"/>
    </row>
    <row r="15" spans="1:9" ht="17.25">
      <c r="A15" s="13"/>
      <c r="B15" s="13"/>
      <c r="C15" s="344" t="s">
        <v>409</v>
      </c>
      <c r="D15" s="347">
        <f>+CAPM!F17</f>
        <v>7.1343999999999991E-2</v>
      </c>
      <c r="E15" s="348"/>
      <c r="F15" s="13" t="s">
        <v>0</v>
      </c>
      <c r="G15" s="13"/>
      <c r="H15" s="13"/>
      <c r="I15" s="13"/>
    </row>
    <row r="16" spans="1:9" ht="17.25">
      <c r="A16" s="13"/>
      <c r="B16" s="13"/>
      <c r="C16" s="344" t="s">
        <v>425</v>
      </c>
      <c r="D16" s="347">
        <f>+CAPM!F19</f>
        <v>8.1093999999999999E-2</v>
      </c>
      <c r="E16" s="348"/>
      <c r="F16" s="13" t="s">
        <v>0</v>
      </c>
      <c r="G16" s="13"/>
      <c r="H16" s="13"/>
      <c r="I16" s="13"/>
    </row>
    <row r="17" spans="1:9" ht="17.25">
      <c r="A17" s="13"/>
      <c r="B17" s="13"/>
      <c r="C17" s="344" t="s">
        <v>439</v>
      </c>
      <c r="D17" s="347">
        <f>+CAPM!F20</f>
        <v>9.6304000000000001E-2</v>
      </c>
      <c r="E17" s="348"/>
      <c r="F17" s="13"/>
      <c r="G17" s="13"/>
      <c r="H17" s="13"/>
      <c r="I17" s="13"/>
    </row>
    <row r="18" spans="1:9" ht="17.25">
      <c r="A18" s="13"/>
      <c r="B18" s="13"/>
      <c r="C18" s="344" t="s">
        <v>426</v>
      </c>
      <c r="D18" s="347">
        <f>+CAPM!F21</f>
        <v>7.8988000000000003E-2</v>
      </c>
      <c r="E18" s="348"/>
      <c r="F18" s="13"/>
      <c r="G18" s="13"/>
      <c r="H18" s="13"/>
      <c r="I18" s="13"/>
    </row>
    <row r="19" spans="1:9" ht="17.25">
      <c r="A19" s="13"/>
      <c r="B19" s="13"/>
      <c r="C19" s="344" t="s">
        <v>427</v>
      </c>
      <c r="D19" s="347">
        <f>+CAPM!F22</f>
        <v>7.6336000000000001E-2</v>
      </c>
      <c r="E19" s="348"/>
      <c r="F19" s="13"/>
      <c r="G19" s="13"/>
      <c r="H19" s="13"/>
      <c r="I19" s="13"/>
    </row>
    <row r="20" spans="1:9" ht="17.25">
      <c r="A20" s="13"/>
      <c r="B20" s="13"/>
      <c r="C20" s="344" t="s">
        <v>167</v>
      </c>
      <c r="D20" s="347">
        <f>+CAPM!F24</f>
        <v>9.1857999999999995E-2</v>
      </c>
      <c r="E20" s="348"/>
      <c r="F20" s="13"/>
      <c r="G20" s="13"/>
      <c r="H20" s="13"/>
      <c r="I20" s="13"/>
    </row>
    <row r="21" spans="1:9" ht="17.25">
      <c r="A21" s="13"/>
      <c r="B21" s="13"/>
      <c r="C21" s="344" t="s">
        <v>168</v>
      </c>
      <c r="D21" s="347">
        <f>+CAPM!F26</f>
        <v>9.0999999999999998E-2</v>
      </c>
      <c r="E21" s="348"/>
      <c r="F21" s="13"/>
      <c r="G21" s="13"/>
      <c r="H21" s="13"/>
      <c r="I21" s="13"/>
    </row>
    <row r="22" spans="1:9" ht="17.25">
      <c r="A22" s="13"/>
      <c r="B22" s="13"/>
      <c r="C22" s="344" t="s">
        <v>169</v>
      </c>
      <c r="D22" s="347">
        <f>+CAPM!F28</f>
        <v>0.10098399999999999</v>
      </c>
      <c r="E22" s="363"/>
      <c r="G22" s="13"/>
      <c r="H22" s="13"/>
      <c r="I22" s="13"/>
    </row>
    <row r="23" spans="1:9" ht="17.25">
      <c r="A23" s="13"/>
      <c r="B23" s="13"/>
      <c r="C23" s="344" t="s">
        <v>170</v>
      </c>
      <c r="D23" s="347">
        <f>+CAPM!F29</f>
        <v>9.1312000000000004E-2</v>
      </c>
      <c r="E23" s="363"/>
      <c r="G23" s="13"/>
      <c r="H23" s="13"/>
      <c r="I23" s="13"/>
    </row>
    <row r="24" spans="1:9" ht="17.25">
      <c r="A24" s="13"/>
      <c r="B24" s="13"/>
      <c r="C24" s="345" t="s">
        <v>428</v>
      </c>
      <c r="D24" s="347">
        <f>+CAPM!F31</f>
        <v>0.105586</v>
      </c>
      <c r="E24" s="363"/>
      <c r="G24" s="13"/>
      <c r="H24" s="13"/>
      <c r="I24" s="13"/>
    </row>
    <row r="25" spans="1:9" ht="17.25">
      <c r="A25" s="13"/>
      <c r="B25" s="13"/>
      <c r="C25" s="345" t="s">
        <v>429</v>
      </c>
      <c r="D25" s="347">
        <f>+CAPM!F32</f>
        <v>9.7318000000000002E-2</v>
      </c>
      <c r="E25" s="349"/>
      <c r="F25" s="13"/>
      <c r="G25" s="13"/>
      <c r="H25" s="13"/>
      <c r="I25" s="13"/>
    </row>
    <row r="26" spans="1:9" ht="17.25">
      <c r="A26" s="13"/>
      <c r="B26" s="13"/>
      <c r="C26" s="345" t="s">
        <v>430</v>
      </c>
      <c r="D26" s="347">
        <f>+CAPM!F33</f>
        <v>8.7100000000000011E-2</v>
      </c>
      <c r="E26" s="349"/>
      <c r="F26" s="13"/>
      <c r="G26" s="13"/>
      <c r="H26" s="13"/>
      <c r="I26" s="13"/>
    </row>
    <row r="27" spans="1:9" ht="17.25">
      <c r="A27" s="13"/>
      <c r="B27" s="13"/>
      <c r="C27" s="344" t="s">
        <v>410</v>
      </c>
      <c r="D27" s="347">
        <f>+CAPM!G42</f>
        <v>7.2648999999999991E-2</v>
      </c>
      <c r="E27" s="348"/>
      <c r="F27" s="13"/>
      <c r="G27" s="13"/>
      <c r="H27" s="13"/>
      <c r="I27" s="13"/>
    </row>
    <row r="28" spans="1:9" ht="17.25">
      <c r="A28" s="13"/>
      <c r="B28" s="13"/>
      <c r="C28" s="344" t="s">
        <v>411</v>
      </c>
      <c r="D28" s="347">
        <f>+CAPM!G43</f>
        <v>7.2982999999999992E-2</v>
      </c>
      <c r="E28" s="348"/>
      <c r="F28" s="13"/>
      <c r="G28" s="13"/>
      <c r="H28" s="13"/>
      <c r="I28" s="13"/>
    </row>
    <row r="29" spans="1:9" ht="17.25">
      <c r="A29" s="13"/>
      <c r="B29" s="13"/>
      <c r="C29" s="344" t="s">
        <v>431</v>
      </c>
      <c r="D29" s="347">
        <f>+CAPM!G45</f>
        <v>8.3420500000000009E-2</v>
      </c>
      <c r="E29" s="348"/>
      <c r="F29" s="13"/>
      <c r="G29" s="13"/>
      <c r="H29" s="13"/>
      <c r="I29" s="13"/>
    </row>
    <row r="30" spans="1:9" ht="17.25">
      <c r="A30" s="13"/>
      <c r="B30" s="13"/>
      <c r="C30" s="344" t="s">
        <v>440</v>
      </c>
      <c r="D30" s="347">
        <f>+CAPM!G46</f>
        <v>9.9703E-2</v>
      </c>
      <c r="E30" s="348"/>
      <c r="F30" s="13"/>
      <c r="G30" s="13"/>
      <c r="H30" s="13"/>
      <c r="I30" s="13"/>
    </row>
    <row r="31" spans="1:9" ht="17.25">
      <c r="A31" s="13"/>
      <c r="B31" s="13"/>
      <c r="C31" s="344" t="s">
        <v>432</v>
      </c>
      <c r="D31" s="347">
        <f>+CAPM!G47</f>
        <v>8.1166000000000002E-2</v>
      </c>
      <c r="E31" s="348"/>
      <c r="F31" s="13"/>
      <c r="G31" s="13"/>
      <c r="H31" s="13"/>
      <c r="I31" s="13"/>
    </row>
    <row r="32" spans="1:9" ht="17.25">
      <c r="A32" s="13"/>
      <c r="B32" s="13"/>
      <c r="C32" s="344" t="s">
        <v>433</v>
      </c>
      <c r="D32" s="347">
        <f>+CAPM!G48</f>
        <v>7.8327000000000008E-2</v>
      </c>
      <c r="E32" s="348"/>
      <c r="F32" s="13"/>
      <c r="G32" s="13"/>
      <c r="H32" s="13"/>
      <c r="I32" s="13"/>
    </row>
    <row r="33" spans="1:9" ht="17.25">
      <c r="A33" s="13"/>
      <c r="B33" s="13"/>
      <c r="C33" s="344" t="s">
        <v>171</v>
      </c>
      <c r="D33" s="347">
        <f>+CAPM!G50</f>
        <v>9.4943499999999986E-2</v>
      </c>
      <c r="E33" s="348"/>
      <c r="F33" s="13"/>
      <c r="G33" s="13"/>
      <c r="H33" s="13"/>
      <c r="I33" s="13"/>
    </row>
    <row r="34" spans="1:9" ht="17.25">
      <c r="A34" s="13"/>
      <c r="B34" s="13"/>
      <c r="C34" s="355" t="s">
        <v>172</v>
      </c>
      <c r="D34" s="347">
        <f>+CAPM!G52</f>
        <v>9.4024999999999997E-2</v>
      </c>
      <c r="E34" s="348"/>
      <c r="F34" s="13"/>
      <c r="G34" s="13"/>
      <c r="H34" s="13"/>
      <c r="I34" s="13"/>
    </row>
    <row r="35" spans="1:9" ht="17.25">
      <c r="A35" s="13"/>
      <c r="B35" s="13"/>
      <c r="C35" s="356" t="s">
        <v>173</v>
      </c>
      <c r="D35" s="347">
        <f>+CAPM!G54</f>
        <v>0.104713</v>
      </c>
      <c r="E35" s="348"/>
      <c r="F35" s="13"/>
      <c r="G35" s="13"/>
      <c r="H35" s="13"/>
      <c r="I35" s="13"/>
    </row>
    <row r="36" spans="1:9" ht="17.25">
      <c r="A36" s="13"/>
      <c r="B36" s="13"/>
      <c r="C36" s="355" t="s">
        <v>174</v>
      </c>
      <c r="D36" s="347">
        <f>+CAPM!G55</f>
        <v>9.4358999999999998E-2</v>
      </c>
      <c r="E36" s="348"/>
      <c r="F36" s="13"/>
      <c r="G36" s="13"/>
      <c r="H36" s="13"/>
      <c r="I36" s="13"/>
    </row>
    <row r="37" spans="1:9" ht="16.5" customHeight="1">
      <c r="A37" s="13"/>
      <c r="B37" s="13"/>
      <c r="C37" s="345" t="s">
        <v>434</v>
      </c>
      <c r="D37" s="347">
        <f>+CAPM!G57</f>
        <v>0.1096395</v>
      </c>
      <c r="E37" s="348" t="s">
        <v>0</v>
      </c>
      <c r="F37" s="13"/>
      <c r="G37" s="13"/>
      <c r="H37" s="13"/>
      <c r="I37" s="13"/>
    </row>
    <row r="38" spans="1:9" ht="16.5" customHeight="1">
      <c r="A38" s="13"/>
      <c r="B38" s="13"/>
      <c r="C38" s="345" t="s">
        <v>435</v>
      </c>
      <c r="D38" s="347">
        <f>+CAPM!G58</f>
        <v>0.1007885</v>
      </c>
      <c r="E38" s="348"/>
      <c r="F38" s="13"/>
      <c r="G38" s="13"/>
      <c r="H38" s="13"/>
      <c r="I38" s="13"/>
    </row>
    <row r="39" spans="1:9" ht="18.75" customHeight="1">
      <c r="A39" s="13"/>
      <c r="B39" s="13"/>
      <c r="C39" s="345" t="s">
        <v>436</v>
      </c>
      <c r="D39" s="347">
        <f>+CAPM!G59</f>
        <v>8.9850000000000013E-2</v>
      </c>
      <c r="E39" s="350"/>
      <c r="F39" s="13"/>
      <c r="G39" s="13"/>
      <c r="H39" s="13"/>
      <c r="I39" s="13"/>
    </row>
    <row r="40" spans="1:9" ht="21.75" customHeight="1">
      <c r="A40" s="13"/>
      <c r="B40" s="13"/>
      <c r="C40" s="357" t="s">
        <v>247</v>
      </c>
      <c r="D40" s="358">
        <f>+'Single Stage Div Growth Model'!I34</f>
        <v>0.13020000000000001</v>
      </c>
      <c r="E40" s="363"/>
      <c r="G40" s="13"/>
      <c r="H40" s="13"/>
      <c r="I40" s="13"/>
    </row>
    <row r="41" spans="1:9" ht="21.75" customHeight="1">
      <c r="A41" s="13"/>
      <c r="B41" s="13"/>
      <c r="C41" s="241" t="s">
        <v>246</v>
      </c>
      <c r="D41" s="358">
        <f>+'Single Stage Div Growth Model'!I36</f>
        <v>9.3899999999999997E-2</v>
      </c>
      <c r="E41" s="363"/>
      <c r="G41" s="13"/>
      <c r="H41" s="13"/>
      <c r="I41" s="13"/>
    </row>
    <row r="42" spans="1:9" ht="21.75" customHeight="1">
      <c r="A42" s="13"/>
      <c r="B42" s="13"/>
      <c r="C42" s="313" t="s">
        <v>248</v>
      </c>
      <c r="D42" s="364">
        <f>+'Two-Stage Dividend Growth Model'!H38</f>
        <v>8.9899999999999994E-2</v>
      </c>
      <c r="E42" s="363"/>
      <c r="G42" s="82" t="s">
        <v>0</v>
      </c>
      <c r="H42" s="13"/>
      <c r="I42" s="13"/>
    </row>
    <row r="43" spans="1:9" ht="21.75" customHeight="1">
      <c r="A43" s="13"/>
      <c r="B43" s="13"/>
      <c r="C43" s="310" t="s">
        <v>352</v>
      </c>
      <c r="D43" s="309">
        <f>+'Direct NOPAT'!G67</f>
        <v>7.2499999999999995E-2</v>
      </c>
      <c r="E43" s="168" t="s">
        <v>0</v>
      </c>
      <c r="F43" s="13"/>
      <c r="G43" s="13"/>
      <c r="H43" s="13"/>
      <c r="I43" s="13"/>
    </row>
    <row r="44" spans="1:9" ht="17.25" thickBot="1">
      <c r="A44" s="13"/>
      <c r="B44" s="13"/>
      <c r="C44" s="13"/>
      <c r="D44" s="71"/>
      <c r="E44" s="13"/>
      <c r="F44" s="13"/>
      <c r="G44" s="13"/>
      <c r="H44" s="13"/>
      <c r="I44" s="13"/>
    </row>
    <row r="45" spans="1:9" ht="17.25" thickTop="1">
      <c r="A45" s="13"/>
      <c r="B45" s="13"/>
      <c r="C45" s="15" t="s">
        <v>56</v>
      </c>
      <c r="D45" s="52">
        <f>MAX(D14:D42)</f>
        <v>0.13020000000000001</v>
      </c>
      <c r="E45" s="144"/>
      <c r="F45" s="13"/>
      <c r="G45" s="13"/>
      <c r="H45" s="13"/>
      <c r="I45" s="13"/>
    </row>
    <row r="46" spans="1:9" ht="16.5">
      <c r="A46" s="13"/>
      <c r="B46" s="13"/>
      <c r="C46" s="15" t="s">
        <v>57</v>
      </c>
      <c r="D46" s="311">
        <f>+MIN(D14:D42)</f>
        <v>7.1031999999999998E-2</v>
      </c>
      <c r="E46" s="13"/>
      <c r="F46" s="13"/>
      <c r="G46" s="52"/>
      <c r="H46" s="52"/>
      <c r="I46" s="52"/>
    </row>
    <row r="47" spans="1:9" ht="16.5">
      <c r="A47" s="13"/>
      <c r="B47" s="13"/>
      <c r="C47" s="15" t="s">
        <v>18</v>
      </c>
      <c r="D47" s="82">
        <f>MEDIAN(D14:D42)</f>
        <v>9.1312000000000004E-2</v>
      </c>
      <c r="E47" s="82"/>
      <c r="F47" s="82"/>
      <c r="G47" s="82"/>
      <c r="H47" s="82"/>
      <c r="I47" s="82"/>
    </row>
    <row r="48" spans="1:9" ht="16.5">
      <c r="A48" s="13"/>
      <c r="B48" s="13"/>
      <c r="C48" s="15" t="s">
        <v>413</v>
      </c>
      <c r="D48" s="83">
        <f>AVERAGE(D14:D42)</f>
        <v>9.0718034482758642E-2</v>
      </c>
      <c r="E48" s="83"/>
      <c r="F48" s="83"/>
      <c r="G48" s="83"/>
      <c r="H48" s="83"/>
      <c r="I48" s="83"/>
    </row>
    <row r="49" spans="1:9" ht="16.5">
      <c r="A49" s="13"/>
      <c r="B49" s="13"/>
      <c r="C49" s="15"/>
      <c r="D49" s="83"/>
      <c r="E49" s="83"/>
      <c r="F49" s="83"/>
      <c r="G49" s="83"/>
      <c r="H49" s="83"/>
      <c r="I49" s="83"/>
    </row>
    <row r="50" spans="1:9" ht="17.25" thickBot="1">
      <c r="A50" s="13"/>
      <c r="B50" s="13"/>
      <c r="C50" s="13"/>
      <c r="D50" s="13" t="s">
        <v>203</v>
      </c>
      <c r="E50" s="13"/>
      <c r="F50" s="13"/>
      <c r="G50" s="13"/>
      <c r="H50" s="13"/>
      <c r="I50" s="13"/>
    </row>
    <row r="51" spans="1:9" ht="27" thickBot="1">
      <c r="A51" s="13"/>
      <c r="B51" s="13"/>
      <c r="C51" s="184" t="s">
        <v>255</v>
      </c>
      <c r="D51" s="360">
        <v>9.0700000000000003E-2</v>
      </c>
      <c r="E51" s="84"/>
      <c r="F51" s="84"/>
    </row>
    <row r="52" spans="1:9" ht="16.5">
      <c r="B52" s="13"/>
      <c r="C52" s="13"/>
      <c r="D52" s="13"/>
      <c r="E52" s="13"/>
      <c r="F52" s="13"/>
      <c r="G52" s="13"/>
      <c r="H52" s="13"/>
      <c r="I52" s="13"/>
    </row>
    <row r="53" spans="1:9" ht="16.5">
      <c r="B53" s="13"/>
      <c r="C53" s="13"/>
      <c r="D53" s="13"/>
      <c r="E53" s="13"/>
      <c r="F53" s="13"/>
      <c r="G53" s="13"/>
      <c r="H53" s="13"/>
      <c r="I53" s="13"/>
    </row>
    <row r="54" spans="1:9" ht="16.5">
      <c r="A54" s="13"/>
      <c r="B54" s="13"/>
      <c r="C54" s="13"/>
      <c r="D54" s="13"/>
      <c r="E54" s="13"/>
      <c r="F54" s="13"/>
      <c r="G54" s="13"/>
      <c r="H54" s="13"/>
      <c r="I54" s="13"/>
    </row>
    <row r="55" spans="1:9" ht="16.5">
      <c r="A55" s="13"/>
      <c r="B55" s="13"/>
      <c r="C55" s="13"/>
      <c r="D55" s="13"/>
      <c r="E55" s="13"/>
      <c r="F55" s="13"/>
      <c r="G55" s="13"/>
      <c r="H55" s="13"/>
      <c r="I55" s="13"/>
    </row>
    <row r="56" spans="1:9" ht="17.25">
      <c r="A56" s="111" t="s">
        <v>256</v>
      </c>
      <c r="B56" s="13"/>
      <c r="C56" s="13"/>
      <c r="D56" s="13"/>
      <c r="E56" s="13"/>
      <c r="F56" s="13"/>
      <c r="G56" s="13"/>
      <c r="H56" s="13"/>
      <c r="I56" s="13"/>
    </row>
    <row r="57" spans="1:9" ht="17.25">
      <c r="A57" s="111" t="s">
        <v>355</v>
      </c>
      <c r="B57" s="13"/>
      <c r="C57" s="13"/>
      <c r="D57" s="13"/>
      <c r="E57" s="13"/>
      <c r="F57" s="13"/>
      <c r="G57" s="13"/>
      <c r="H57" s="13"/>
      <c r="I57" s="13"/>
    </row>
    <row r="58" spans="1:9" ht="16.5">
      <c r="A58" s="13"/>
      <c r="B58" s="13"/>
      <c r="C58" s="13"/>
      <c r="D58" s="13" t="s">
        <v>0</v>
      </c>
      <c r="E58" s="13"/>
      <c r="F58" s="13"/>
      <c r="G58" s="13"/>
      <c r="H58" s="13"/>
      <c r="I58" s="13"/>
    </row>
    <row r="59" spans="1:9" ht="16.5">
      <c r="A59" s="13"/>
      <c r="B59" s="13"/>
      <c r="C59" s="13"/>
      <c r="D59" s="13" t="s">
        <v>0</v>
      </c>
      <c r="E59" s="13"/>
      <c r="F59" s="13"/>
      <c r="G59" s="13"/>
      <c r="H59" s="13"/>
      <c r="I59" s="13"/>
    </row>
    <row r="60" spans="1:9" ht="16.5">
      <c r="A60" s="13"/>
      <c r="B60" s="13"/>
      <c r="C60" s="13"/>
      <c r="D60" s="13"/>
      <c r="E60" s="13"/>
      <c r="F60" s="13"/>
      <c r="G60" s="13"/>
      <c r="H60" s="13"/>
      <c r="I60" s="13"/>
    </row>
    <row r="61" spans="1:9" ht="16.5">
      <c r="A61" s="13"/>
      <c r="B61" s="13"/>
      <c r="C61" s="13"/>
      <c r="D61" s="13"/>
      <c r="E61" s="13"/>
      <c r="F61" s="13"/>
      <c r="G61" s="13"/>
      <c r="H61" s="13"/>
      <c r="I61" s="13"/>
    </row>
    <row r="62" spans="1:9" ht="16.5">
      <c r="A62" s="13"/>
      <c r="B62" s="13"/>
      <c r="C62" s="13"/>
      <c r="D62" s="13"/>
      <c r="E62" s="13"/>
      <c r="F62" s="13"/>
      <c r="G62" s="13"/>
      <c r="H62" s="13"/>
      <c r="I62" s="13"/>
    </row>
    <row r="63" spans="1:9" ht="16.5">
      <c r="A63" s="13"/>
      <c r="B63" s="13"/>
      <c r="C63" s="13"/>
      <c r="D63" s="13"/>
      <c r="E63" s="13"/>
      <c r="F63" s="13"/>
      <c r="G63" s="13"/>
      <c r="H63" s="13"/>
      <c r="I63" s="13"/>
    </row>
    <row r="64" spans="1:9" ht="16.5">
      <c r="A64" s="13"/>
      <c r="B64" s="13"/>
      <c r="C64" s="13"/>
      <c r="D64" s="13"/>
      <c r="E64" s="13"/>
      <c r="F64" s="13"/>
      <c r="G64" s="13"/>
      <c r="H64" s="13"/>
      <c r="I64" s="13"/>
    </row>
    <row r="65" spans="1:9" ht="16.5">
      <c r="A65" s="13"/>
      <c r="B65" s="13"/>
      <c r="C65" s="13"/>
      <c r="D65" s="13"/>
      <c r="E65" s="13"/>
      <c r="F65" s="13"/>
      <c r="G65" s="13"/>
      <c r="H65" s="13"/>
      <c r="I65" s="13"/>
    </row>
    <row r="66" spans="1:9" ht="16.5">
      <c r="A66" s="13"/>
      <c r="B66" s="13"/>
      <c r="C66" s="13"/>
      <c r="D66" s="13"/>
      <c r="E66" s="13"/>
      <c r="F66" s="13"/>
      <c r="G66" s="13"/>
      <c r="H66" s="13"/>
      <c r="I66" s="13"/>
    </row>
    <row r="67" spans="1:9" ht="16.5">
      <c r="A67" s="13"/>
      <c r="B67" s="13"/>
      <c r="C67" s="13"/>
      <c r="D67" s="13"/>
      <c r="E67" s="13"/>
      <c r="F67" s="13"/>
      <c r="G67" s="13"/>
      <c r="H67" s="13"/>
      <c r="I67" s="13"/>
    </row>
    <row r="68" spans="1:9" ht="16.5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6.5">
      <c r="A69" s="13"/>
      <c r="B69" s="13"/>
      <c r="C69" s="13"/>
      <c r="D69" s="13"/>
      <c r="E69" s="13"/>
      <c r="F69" s="13"/>
      <c r="G69" s="13"/>
      <c r="H69" s="13"/>
      <c r="I69" s="13"/>
    </row>
    <row r="70" spans="1:9" ht="16.5">
      <c r="A70" s="13"/>
      <c r="B70" s="13"/>
      <c r="C70" s="13"/>
      <c r="D70" s="13"/>
      <c r="E70" s="13"/>
      <c r="F70" s="13"/>
      <c r="G70" s="13"/>
      <c r="H70" s="13"/>
      <c r="I70" s="13"/>
    </row>
    <row r="71" spans="1:9" ht="16.5">
      <c r="A71" s="13"/>
      <c r="B71" s="13"/>
      <c r="C71" s="13"/>
      <c r="D71" s="13"/>
      <c r="E71" s="13"/>
      <c r="F71" s="13"/>
      <c r="G71" s="13"/>
      <c r="H71" s="13"/>
      <c r="I71" s="13"/>
    </row>
    <row r="72" spans="1:9" ht="16.5">
      <c r="A72" s="13"/>
      <c r="B72" s="13"/>
      <c r="C72" s="13"/>
      <c r="D72" s="13"/>
      <c r="E72" s="13"/>
      <c r="F72" s="13"/>
      <c r="G72" s="13"/>
      <c r="H72" s="13"/>
      <c r="I72" s="13"/>
    </row>
    <row r="73" spans="1:9" ht="16.5">
      <c r="A73" s="13"/>
      <c r="B73" s="13"/>
      <c r="C73" s="13"/>
      <c r="D73" s="13"/>
      <c r="E73" s="13"/>
      <c r="F73" s="13"/>
      <c r="G73" s="13"/>
      <c r="H73" s="13"/>
      <c r="I73" s="13"/>
    </row>
    <row r="74" spans="1:9" ht="16.5">
      <c r="A74" s="13"/>
      <c r="B74" s="13"/>
      <c r="C74" s="13"/>
      <c r="D74" s="13"/>
      <c r="E74" s="13"/>
      <c r="F74" s="13"/>
      <c r="G74" s="13"/>
      <c r="H74" s="13"/>
      <c r="I74" s="13"/>
    </row>
    <row r="75" spans="1:9" ht="16.5">
      <c r="A75" s="13"/>
      <c r="B75" s="13"/>
      <c r="C75" s="13"/>
      <c r="D75" s="13"/>
      <c r="E75" s="13"/>
      <c r="F75" s="13"/>
      <c r="G75" s="13"/>
      <c r="H75" s="13"/>
      <c r="I75" s="13"/>
    </row>
    <row r="76" spans="1:9" ht="16.5">
      <c r="A76" s="13"/>
      <c r="B76" s="13"/>
      <c r="C76" s="13"/>
      <c r="D76" s="13"/>
      <c r="E76" s="13"/>
      <c r="F76" s="13"/>
      <c r="G76" s="13"/>
      <c r="H76" s="13"/>
      <c r="I76" s="13"/>
    </row>
    <row r="77" spans="1:9" ht="16.5">
      <c r="A77" s="13"/>
      <c r="B77" s="13"/>
      <c r="C77" s="13"/>
      <c r="D77" s="13"/>
      <c r="E77" s="13"/>
      <c r="F77" s="13"/>
      <c r="G77" s="13"/>
      <c r="H77" s="13"/>
      <c r="I77" s="13"/>
    </row>
    <row r="78" spans="1:9" ht="16.5">
      <c r="A78" s="13"/>
      <c r="B78" s="13"/>
      <c r="C78" s="13"/>
      <c r="D78" s="13"/>
      <c r="E78" s="13"/>
      <c r="F78" s="13"/>
      <c r="G78" s="13"/>
      <c r="H78" s="13"/>
      <c r="I78" s="13"/>
    </row>
    <row r="79" spans="1:9" ht="16.5">
      <c r="A79" s="13"/>
      <c r="B79" s="13"/>
      <c r="C79" s="13"/>
      <c r="D79" s="13"/>
      <c r="E79" s="13"/>
      <c r="F79" s="13"/>
      <c r="G79" s="13"/>
      <c r="H79" s="13"/>
      <c r="I79" s="13"/>
    </row>
    <row r="80" spans="1:9" ht="16.5">
      <c r="A80" s="13"/>
      <c r="B80" s="13"/>
      <c r="C80" s="13"/>
      <c r="D80" s="13"/>
      <c r="E80" s="13"/>
      <c r="F80" s="13"/>
      <c r="G80" s="13"/>
      <c r="H80" s="13"/>
      <c r="I80" s="13"/>
    </row>
    <row r="81" spans="1:9" ht="16.5">
      <c r="A81" s="13"/>
      <c r="B81" s="13"/>
      <c r="C81" s="13"/>
      <c r="D81" s="13"/>
      <c r="E81" s="13"/>
      <c r="F81" s="13"/>
      <c r="G81" s="13"/>
      <c r="H81" s="13"/>
      <c r="I81" s="13"/>
    </row>
    <row r="82" spans="1:9" ht="16.5">
      <c r="A82" s="13"/>
      <c r="B82" s="13"/>
      <c r="C82" s="13"/>
      <c r="D82" s="13"/>
      <c r="E82" s="13"/>
      <c r="F82" s="13"/>
      <c r="G82" s="13"/>
      <c r="H82" s="13"/>
      <c r="I82" s="13"/>
    </row>
    <row r="83" spans="1:9" ht="16.5">
      <c r="A83" s="13"/>
      <c r="B83" s="13"/>
      <c r="C83" s="13"/>
      <c r="D83" s="13"/>
      <c r="E83" s="13"/>
      <c r="F83" s="13"/>
      <c r="G83" s="13"/>
      <c r="H83" s="13"/>
      <c r="I83" s="13"/>
    </row>
    <row r="84" spans="1:9" ht="16.5">
      <c r="A84" s="13"/>
      <c r="B84" s="13"/>
      <c r="C84" s="13"/>
      <c r="D84" s="13"/>
      <c r="E84" s="13"/>
      <c r="F84" s="13"/>
      <c r="G84" s="13"/>
      <c r="H84" s="13"/>
      <c r="I84" s="13"/>
    </row>
    <row r="85" spans="1:9" ht="16.5">
      <c r="A85" s="13"/>
      <c r="B85" s="13"/>
      <c r="C85" s="13"/>
      <c r="D85" s="13"/>
      <c r="E85" s="13"/>
      <c r="F85" s="13"/>
      <c r="G85" s="13"/>
      <c r="H85" s="13"/>
      <c r="I85" s="13"/>
    </row>
    <row r="86" spans="1:9" ht="16.5">
      <c r="A86" s="13"/>
      <c r="B86" s="13"/>
      <c r="C86" s="13"/>
      <c r="D86" s="13"/>
      <c r="E86" s="13"/>
      <c r="F86" s="13"/>
      <c r="G86" s="13"/>
      <c r="H86" s="13"/>
      <c r="I86" s="13"/>
    </row>
    <row r="87" spans="1:9" ht="16.5">
      <c r="A87" s="13"/>
      <c r="B87" s="13"/>
      <c r="C87" s="13"/>
      <c r="D87" s="13"/>
      <c r="E87" s="13"/>
      <c r="F87" s="13"/>
      <c r="G87" s="13"/>
      <c r="H87" s="13"/>
      <c r="I87" s="13"/>
    </row>
    <row r="88" spans="1:9" ht="16.5">
      <c r="A88" s="13"/>
      <c r="B88" s="13"/>
      <c r="C88" s="13"/>
      <c r="D88" s="13"/>
      <c r="E88" s="13"/>
      <c r="F88" s="13"/>
      <c r="G88" s="13"/>
      <c r="H88" s="13"/>
      <c r="I88" s="13"/>
    </row>
    <row r="89" spans="1:9" ht="16.5">
      <c r="A89" s="13"/>
      <c r="B89" s="13"/>
      <c r="C89" s="13"/>
      <c r="D89" s="13"/>
      <c r="E89" s="13"/>
      <c r="F89" s="13"/>
      <c r="G89" s="13"/>
      <c r="H89" s="13"/>
      <c r="I89" s="13"/>
    </row>
    <row r="90" spans="1:9" ht="16.5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16.5">
      <c r="A91" s="13"/>
      <c r="B91" s="13"/>
      <c r="C91" s="13"/>
      <c r="D91" s="13"/>
      <c r="E91" s="13"/>
      <c r="F91" s="13"/>
      <c r="G91" s="13"/>
      <c r="H91" s="13"/>
      <c r="I91" s="13"/>
    </row>
    <row r="92" spans="1:9" ht="16.5">
      <c r="A92" s="13"/>
      <c r="B92" s="13"/>
      <c r="C92" s="13"/>
      <c r="D92" s="13"/>
      <c r="E92" s="13"/>
      <c r="F92" s="13"/>
      <c r="G92" s="13"/>
      <c r="H92" s="13"/>
      <c r="I92" s="13"/>
    </row>
    <row r="93" spans="1:9" ht="16.5">
      <c r="A93" s="13"/>
      <c r="B93" s="13"/>
      <c r="C93" s="13"/>
      <c r="D93" s="13"/>
      <c r="E93" s="13"/>
      <c r="F93" s="13"/>
      <c r="G93" s="13"/>
      <c r="H93" s="13"/>
      <c r="I93" s="13"/>
    </row>
    <row r="94" spans="1:9" ht="16.5">
      <c r="A94" s="13"/>
      <c r="B94" s="13"/>
      <c r="C94" s="13"/>
      <c r="D94" s="13"/>
      <c r="E94" s="13"/>
      <c r="F94" s="13"/>
      <c r="G94" s="13"/>
      <c r="H94" s="13"/>
      <c r="I94" s="13"/>
    </row>
    <row r="95" spans="1:9" ht="16.5">
      <c r="A95" s="13"/>
      <c r="B95" s="13"/>
      <c r="C95" s="13"/>
      <c r="D95" s="13"/>
      <c r="E95" s="13"/>
      <c r="F95" s="13"/>
      <c r="G95" s="13"/>
      <c r="H95" s="13"/>
      <c r="I95" s="13"/>
    </row>
    <row r="96" spans="1:9" ht="16.5">
      <c r="A96" s="13"/>
      <c r="B96" s="13"/>
      <c r="C96" s="13"/>
      <c r="D96" s="13"/>
      <c r="E96" s="13"/>
      <c r="F96" s="13"/>
      <c r="G96" s="13"/>
      <c r="H96" s="13"/>
      <c r="I96" s="13"/>
    </row>
    <row r="97" spans="1:9" ht="16.5">
      <c r="A97" s="13"/>
      <c r="B97" s="13"/>
      <c r="C97" s="13"/>
      <c r="D97" s="13"/>
      <c r="E97" s="13"/>
      <c r="F97" s="13"/>
      <c r="G97" s="13"/>
      <c r="H97" s="13"/>
      <c r="I97" s="13"/>
    </row>
    <row r="98" spans="1:9" ht="16.5">
      <c r="A98" s="13"/>
      <c r="B98" s="13"/>
      <c r="C98" s="13"/>
      <c r="D98" s="13"/>
      <c r="E98" s="13"/>
      <c r="F98" s="13"/>
      <c r="G98" s="13"/>
      <c r="H98" s="13"/>
      <c r="I98" s="13"/>
    </row>
    <row r="99" spans="1:9" ht="16.5">
      <c r="A99" s="13"/>
      <c r="B99" s="13"/>
      <c r="C99" s="13"/>
      <c r="D99" s="13"/>
      <c r="E99" s="13"/>
      <c r="F99" s="13"/>
      <c r="G99" s="13"/>
      <c r="H99" s="13"/>
      <c r="I99" s="13"/>
    </row>
    <row r="100" spans="1:9" ht="16.5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ht="16.5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ht="16.5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6.5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6.5">
      <c r="A104" s="13"/>
      <c r="B104" s="13"/>
      <c r="C104" s="13"/>
      <c r="D104" s="13"/>
      <c r="E104" s="13"/>
      <c r="F104" s="13"/>
      <c r="G104" s="13"/>
      <c r="H104" s="13"/>
      <c r="I104" s="13"/>
    </row>
  </sheetData>
  <pageMargins left="0.25" right="0.25" top="0.75" bottom="0.75" header="0.3" footer="0.3"/>
  <pageSetup scale="4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EAA8-BBA3-479C-8851-708BD7E9A4CD}">
  <sheetPr>
    <tabColor rgb="FF92D050"/>
  </sheetPr>
  <dimension ref="A1:K50"/>
  <sheetViews>
    <sheetView view="pageBreakPreview" zoomScale="70" zoomScaleNormal="80" zoomScaleSheetLayoutView="70" workbookViewId="0">
      <selection activeCell="G6" sqref="G6"/>
    </sheetView>
  </sheetViews>
  <sheetFormatPr defaultRowHeight="15"/>
  <cols>
    <col min="1" max="1" width="45.140625" customWidth="1"/>
    <col min="2" max="2" width="10.85546875" bestFit="1" customWidth="1"/>
    <col min="3" max="3" width="26.140625" customWidth="1"/>
    <col min="4" max="4" width="15.28515625" customWidth="1"/>
    <col min="5" max="5" width="27.140625" customWidth="1"/>
    <col min="6" max="6" width="22" customWidth="1"/>
    <col min="7" max="7" width="29.28515625" customWidth="1"/>
    <col min="8" max="8" width="37" customWidth="1"/>
    <col min="9" max="9" width="24.5703125" customWidth="1"/>
    <col min="10" max="10" width="24.140625" customWidth="1"/>
    <col min="12" max="12" width="10.5703125" customWidth="1"/>
  </cols>
  <sheetData>
    <row r="1" spans="1:11" ht="26.25">
      <c r="A1" s="25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7.25">
      <c r="A2" s="26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6.5">
      <c r="A3" s="27" t="s">
        <v>485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6.5">
      <c r="A4" s="27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thickBot="1">
      <c r="A5" s="13"/>
      <c r="B5" s="13"/>
      <c r="C5" s="13"/>
      <c r="D5" s="13"/>
      <c r="E5" s="13"/>
      <c r="F5" s="13"/>
      <c r="G5" s="13"/>
      <c r="H5" s="28"/>
      <c r="I5" s="13"/>
      <c r="J5" s="13"/>
      <c r="K5" s="13"/>
    </row>
    <row r="6" spans="1:11" ht="18" thickBot="1">
      <c r="A6" s="239" t="str">
        <f>+'S&amp;D'!A12</f>
        <v>Natural Gas Utility Distribution</v>
      </c>
      <c r="B6" s="176"/>
      <c r="C6" s="13"/>
      <c r="D6" s="30"/>
      <c r="E6" s="30"/>
      <c r="F6" s="30"/>
      <c r="G6" s="486" t="s">
        <v>0</v>
      </c>
      <c r="H6" s="30"/>
      <c r="I6" s="13"/>
      <c r="J6" s="13"/>
      <c r="K6" s="13"/>
    </row>
    <row r="7" spans="1:11" ht="26.25">
      <c r="A7" s="31"/>
      <c r="B7" s="13"/>
      <c r="C7" s="13"/>
      <c r="D7" s="13"/>
      <c r="E7" s="13"/>
      <c r="F7" s="32" t="s">
        <v>187</v>
      </c>
      <c r="G7" s="13"/>
      <c r="H7" s="13"/>
      <c r="I7" s="13"/>
      <c r="J7" s="13"/>
      <c r="K7" s="13"/>
    </row>
    <row r="8" spans="1:11" ht="21" thickBot="1">
      <c r="A8" s="31"/>
      <c r="B8" s="13"/>
      <c r="C8" s="13"/>
      <c r="D8" s="30"/>
      <c r="E8" s="30"/>
      <c r="F8" s="37" t="s">
        <v>498</v>
      </c>
      <c r="G8" s="30"/>
      <c r="H8" s="30"/>
      <c r="I8" s="13"/>
      <c r="J8" s="13"/>
      <c r="K8" s="13"/>
    </row>
    <row r="9" spans="1:11" ht="17.25" thickBot="1">
      <c r="A9" s="34" t="s">
        <v>0</v>
      </c>
      <c r="B9" s="34" t="s">
        <v>0</v>
      </c>
      <c r="C9" s="34" t="s">
        <v>0</v>
      </c>
      <c r="D9" s="30"/>
      <c r="E9" s="34"/>
      <c r="F9" s="34" t="s">
        <v>0</v>
      </c>
      <c r="G9" s="34"/>
      <c r="H9" s="30"/>
      <c r="I9" s="30"/>
      <c r="J9" s="30"/>
      <c r="K9" s="13"/>
    </row>
    <row r="10" spans="1:11" ht="16.5">
      <c r="A10" s="35" t="s">
        <v>0</v>
      </c>
      <c r="B10" s="35" t="s">
        <v>3</v>
      </c>
      <c r="C10" s="35" t="s">
        <v>5</v>
      </c>
      <c r="D10" s="35" t="s">
        <v>175</v>
      </c>
      <c r="E10" s="35" t="s">
        <v>12</v>
      </c>
      <c r="F10" s="35" t="s">
        <v>188</v>
      </c>
      <c r="G10" s="35" t="s">
        <v>189</v>
      </c>
      <c r="H10" s="35" t="s">
        <v>189</v>
      </c>
      <c r="I10" s="35" t="s">
        <v>184</v>
      </c>
      <c r="J10" s="35" t="s">
        <v>184</v>
      </c>
      <c r="K10" s="13"/>
    </row>
    <row r="11" spans="1:11" ht="16.5">
      <c r="A11" s="35" t="s">
        <v>2</v>
      </c>
      <c r="B11" s="35" t="s">
        <v>4</v>
      </c>
      <c r="C11" s="35" t="s">
        <v>6</v>
      </c>
      <c r="D11" s="35" t="s">
        <v>216</v>
      </c>
      <c r="E11" s="35" t="s">
        <v>14</v>
      </c>
      <c r="F11" s="35" t="s">
        <v>368</v>
      </c>
      <c r="G11" s="35" t="s">
        <v>217</v>
      </c>
      <c r="H11" s="35" t="s">
        <v>218</v>
      </c>
      <c r="I11" s="35" t="s">
        <v>178</v>
      </c>
      <c r="J11" s="35" t="s">
        <v>182</v>
      </c>
      <c r="K11" s="13"/>
    </row>
    <row r="12" spans="1:11" ht="16.5">
      <c r="A12" s="35"/>
      <c r="B12" s="35"/>
      <c r="C12" s="35"/>
      <c r="D12" s="35"/>
      <c r="E12" s="35"/>
      <c r="F12" s="36" t="s">
        <v>0</v>
      </c>
      <c r="G12" s="36" t="s">
        <v>478</v>
      </c>
      <c r="H12" s="36" t="s">
        <v>478</v>
      </c>
      <c r="I12" s="35"/>
      <c r="J12" s="35"/>
      <c r="K12" s="13"/>
    </row>
    <row r="13" spans="1:11" ht="17.25" thickBot="1">
      <c r="A13" s="37" t="s">
        <v>0</v>
      </c>
      <c r="B13" s="38" t="s">
        <v>107</v>
      </c>
      <c r="C13" s="38" t="s">
        <v>108</v>
      </c>
      <c r="D13" s="38" t="s">
        <v>109</v>
      </c>
      <c r="E13" s="38" t="s">
        <v>110</v>
      </c>
      <c r="F13" s="38" t="s">
        <v>111</v>
      </c>
      <c r="G13" s="38" t="s">
        <v>112</v>
      </c>
      <c r="H13" s="38" t="s">
        <v>113</v>
      </c>
      <c r="I13" s="38" t="s">
        <v>185</v>
      </c>
      <c r="J13" s="38" t="s">
        <v>186</v>
      </c>
      <c r="K13" s="13"/>
    </row>
    <row r="14" spans="1:11" ht="16.5">
      <c r="A14" s="39" t="s">
        <v>7</v>
      </c>
      <c r="B14" s="39" t="s">
        <v>7</v>
      </c>
      <c r="C14" s="39" t="s">
        <v>7</v>
      </c>
      <c r="D14" s="40" t="s">
        <v>131</v>
      </c>
      <c r="E14" s="40"/>
      <c r="F14" s="39" t="s">
        <v>7</v>
      </c>
      <c r="G14" s="39" t="s">
        <v>7</v>
      </c>
      <c r="H14" s="39" t="s">
        <v>7</v>
      </c>
      <c r="I14" s="39" t="s">
        <v>0</v>
      </c>
      <c r="J14" s="39" t="s">
        <v>0</v>
      </c>
      <c r="K14" s="13"/>
    </row>
    <row r="15" spans="1:11" ht="16.5">
      <c r="A15" s="35"/>
      <c r="B15" s="35"/>
      <c r="C15" s="35"/>
      <c r="D15" s="35"/>
      <c r="E15" s="35"/>
      <c r="F15" s="35"/>
      <c r="G15" s="35"/>
      <c r="H15" s="13"/>
      <c r="I15" s="13"/>
      <c r="J15" s="13"/>
      <c r="K15" s="13"/>
    </row>
    <row r="16" spans="1:11" ht="16.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ht="17.25">
      <c r="A17" s="44" t="str">
        <f>+'S&amp;D'!A22</f>
        <v>Atmos Energy Corp</v>
      </c>
      <c r="B17" s="35" t="str">
        <f>+'S&amp;D'!B22</f>
        <v>ATO</v>
      </c>
      <c r="C17" s="35" t="str">
        <f>+'S&amp;D'!C22</f>
        <v>Gas Utility</v>
      </c>
      <c r="D17" s="60">
        <f>+'S&amp;D'!G22</f>
        <v>167.63</v>
      </c>
      <c r="E17" s="61">
        <f>+'S&amp;D'!D42</f>
        <v>27083708209.919998</v>
      </c>
      <c r="F17" s="54">
        <f>+'Dividends '!H16</f>
        <v>2.5293801825448908E-2</v>
      </c>
      <c r="G17" s="54">
        <v>0.08</v>
      </c>
      <c r="H17" s="54">
        <v>0.05</v>
      </c>
      <c r="I17" s="325">
        <f>+F17+G17</f>
        <v>0.10529380182544891</v>
      </c>
      <c r="J17" s="325">
        <f>+F17+H17</f>
        <v>7.5293801825448911E-2</v>
      </c>
      <c r="K17" s="13"/>
    </row>
    <row r="18" spans="1:11" ht="17.25">
      <c r="A18" s="44" t="str">
        <f>+'S&amp;D'!A23</f>
        <v>Black Hills Corporation</v>
      </c>
      <c r="B18" s="35" t="str">
        <f>+'S&amp;D'!B23</f>
        <v>BKH</v>
      </c>
      <c r="C18" s="35" t="str">
        <f>+'S&amp;D'!C23</f>
        <v>Electric Utility - West</v>
      </c>
      <c r="D18" s="60">
        <f>+'S&amp;D'!G23</f>
        <v>69.42</v>
      </c>
      <c r="E18" s="61">
        <f>+'S&amp;D'!D43</f>
        <v>5239617991.1400003</v>
      </c>
      <c r="F18" s="54">
        <f>+'Dividends '!H17</f>
        <v>4.177470469605301E-2</v>
      </c>
      <c r="G18" s="54">
        <v>3.5000000000000003E-2</v>
      </c>
      <c r="H18" s="54">
        <v>3.5000000000000003E-2</v>
      </c>
      <c r="I18" s="325">
        <f t="shared" ref="I18:I27" si="0">+F18+G18</f>
        <v>7.677470469605302E-2</v>
      </c>
      <c r="J18" s="325">
        <f t="shared" ref="J18:J27" si="1">+F18+H18</f>
        <v>7.677470469605302E-2</v>
      </c>
      <c r="K18" s="13"/>
    </row>
    <row r="19" spans="1:11" ht="17.25">
      <c r="A19" s="44" t="str">
        <f>+'S&amp;D'!A24</f>
        <v>CenterPoint Energy Inc.</v>
      </c>
      <c r="B19" s="35" t="str">
        <f>+'S&amp;D'!B24</f>
        <v>CNP</v>
      </c>
      <c r="C19" s="35" t="str">
        <f>+'S&amp;D'!C24</f>
        <v>Electric Utility - Central</v>
      </c>
      <c r="D19" s="60">
        <f>+'S&amp;D'!G24</f>
        <v>38.340000000000003</v>
      </c>
      <c r="E19" s="61">
        <f>+'S&amp;D'!D44</f>
        <v>25031019505.500004</v>
      </c>
      <c r="F19" s="54">
        <f>+'Dividends '!H18</f>
        <v>2.999478351591027E-2</v>
      </c>
      <c r="G19" s="54">
        <v>7.4999999999999997E-2</v>
      </c>
      <c r="H19" s="54">
        <v>0.08</v>
      </c>
      <c r="I19" s="325">
        <f t="shared" si="0"/>
        <v>0.10499478351591027</v>
      </c>
      <c r="J19" s="325">
        <f t="shared" si="1"/>
        <v>0.10999478351591027</v>
      </c>
      <c r="K19" s="13"/>
    </row>
    <row r="20" spans="1:11" ht="17.25">
      <c r="A20" s="44" t="str">
        <f>+'S&amp;D'!A25</f>
        <v>CMS Energy Corporation</v>
      </c>
      <c r="B20" s="35" t="str">
        <f>+'S&amp;D'!B25</f>
        <v>CMS</v>
      </c>
      <c r="C20" s="35" t="str">
        <f>+'S&amp;D'!C25</f>
        <v>Electric Utility - Central</v>
      </c>
      <c r="D20" s="60">
        <f>+'S&amp;D'!G25</f>
        <v>69.930000000000007</v>
      </c>
      <c r="E20" s="61">
        <f>+'S&amp;D'!D45</f>
        <v>21426552000.000004</v>
      </c>
      <c r="F20" s="54">
        <f>+'Dividends '!H19</f>
        <v>3.5750035750035748E-2</v>
      </c>
      <c r="G20" s="54">
        <v>7.0000000000000007E-2</v>
      </c>
      <c r="H20" s="54">
        <v>0.08</v>
      </c>
      <c r="I20" s="325">
        <f t="shared" si="0"/>
        <v>0.10575003575003575</v>
      </c>
      <c r="J20" s="325">
        <f t="shared" si="1"/>
        <v>0.11575003575003576</v>
      </c>
      <c r="K20" s="13"/>
    </row>
    <row r="21" spans="1:11" ht="17.25">
      <c r="A21" s="44" t="str">
        <f>+'S&amp;D'!A26</f>
        <v>New Jersey Resources Corp</v>
      </c>
      <c r="B21" s="35" t="str">
        <f>+'S&amp;D'!B26</f>
        <v>NJR</v>
      </c>
      <c r="C21" s="35" t="str">
        <f>+'S&amp;D'!C26</f>
        <v>Gas Utility</v>
      </c>
      <c r="D21" s="60">
        <f>+'S&amp;D'!G26</f>
        <v>46.12</v>
      </c>
      <c r="E21" s="61">
        <f>+'S&amp;D'!D46</f>
        <v>4646595073.1999998</v>
      </c>
      <c r="F21" s="54">
        <f>+'Dividends '!H20</f>
        <v>4.5533391153512577E-2</v>
      </c>
      <c r="G21" s="54">
        <v>0.06</v>
      </c>
      <c r="H21" s="54">
        <v>0.05</v>
      </c>
      <c r="I21" s="325">
        <f t="shared" si="0"/>
        <v>0.10553339115351257</v>
      </c>
      <c r="J21" s="325">
        <f t="shared" si="1"/>
        <v>9.5533391153512587E-2</v>
      </c>
      <c r="K21" s="13"/>
    </row>
    <row r="22" spans="1:11" ht="17.25">
      <c r="A22" s="44" t="str">
        <f>+'S&amp;D'!A27</f>
        <v>NISOURCE Inc.</v>
      </c>
      <c r="B22" s="35" t="str">
        <f>+'S&amp;D'!B27</f>
        <v>NI</v>
      </c>
      <c r="C22" s="35" t="str">
        <f>+'S&amp;D'!C27</f>
        <v>Gas Utility</v>
      </c>
      <c r="D22" s="60">
        <f>+'S&amp;D'!G27</f>
        <v>41.76</v>
      </c>
      <c r="E22" s="61">
        <f>+'S&amp;D'!D47</f>
        <v>19979322742.079998</v>
      </c>
      <c r="F22" s="54">
        <f>+'Dividends '!H21</f>
        <v>3.0651340996168584E-2</v>
      </c>
      <c r="G22" s="54">
        <v>0.06</v>
      </c>
      <c r="H22" s="54">
        <v>7.4999999999999997E-2</v>
      </c>
      <c r="I22" s="325">
        <f t="shared" si="0"/>
        <v>9.0651340996168589E-2</v>
      </c>
      <c r="J22" s="325">
        <f t="shared" si="1"/>
        <v>0.10565134099616857</v>
      </c>
      <c r="K22" s="13"/>
    </row>
    <row r="23" spans="1:11" ht="17.25">
      <c r="A23" s="44" t="str">
        <f>+'S&amp;D'!A28</f>
        <v xml:space="preserve">Northwest Natural Holding Company </v>
      </c>
      <c r="B23" s="35" t="str">
        <f>+'S&amp;D'!B28</f>
        <v>NWN</v>
      </c>
      <c r="C23" s="35" t="str">
        <f>+'S&amp;D'!C28</f>
        <v>Gas Utility</v>
      </c>
      <c r="D23" s="60">
        <f>+'S&amp;D'!G28</f>
        <v>46.74</v>
      </c>
      <c r="E23" s="61">
        <f>+'S&amp;D'!D48</f>
        <v>1942681588.98</v>
      </c>
      <c r="F23" s="54">
        <f>+'Dividends '!H22</f>
        <v>4.2148053059477962E-2</v>
      </c>
      <c r="G23" s="54">
        <v>0.5</v>
      </c>
      <c r="H23" s="54">
        <v>0.06</v>
      </c>
      <c r="I23" s="325">
        <f t="shared" si="0"/>
        <v>0.542148053059478</v>
      </c>
      <c r="J23" s="325">
        <f t="shared" si="1"/>
        <v>0.10214805305947797</v>
      </c>
      <c r="K23" s="13"/>
    </row>
    <row r="24" spans="1:11" ht="17.25">
      <c r="A24" s="44" t="str">
        <f>+'S&amp;D'!A29</f>
        <v>One Gas INC</v>
      </c>
      <c r="B24" s="35" t="str">
        <f>+'S&amp;D'!B29</f>
        <v>OGS</v>
      </c>
      <c r="C24" s="35" t="str">
        <f>+'S&amp;D'!C29</f>
        <v>Gas Utility</v>
      </c>
      <c r="D24" s="60">
        <f>+'S&amp;D'!G29</f>
        <v>77.25</v>
      </c>
      <c r="E24" s="61">
        <f>+'S&amp;D'!D49</f>
        <v>4842987282</v>
      </c>
      <c r="F24" s="54">
        <f>+'Dividends '!H23</f>
        <v>3.572815533980582E-2</v>
      </c>
      <c r="G24" s="54">
        <v>0.02</v>
      </c>
      <c r="H24" s="54">
        <v>0.06</v>
      </c>
      <c r="I24" s="325">
        <f t="shared" si="0"/>
        <v>5.5728155339805824E-2</v>
      </c>
      <c r="J24" s="325">
        <f t="shared" si="1"/>
        <v>9.5728155339805818E-2</v>
      </c>
      <c r="K24" s="13"/>
    </row>
    <row r="25" spans="1:11" ht="17.25">
      <c r="A25" s="44" t="str">
        <f>+'S&amp;D'!A30</f>
        <v>Southwest Gas Holdings, Inc</v>
      </c>
      <c r="B25" s="35" t="str">
        <f>+'S&amp;D'!B30</f>
        <v>SWX</v>
      </c>
      <c r="C25" s="35" t="str">
        <f>+'S&amp;D'!C30</f>
        <v>Gas Utility</v>
      </c>
      <c r="D25" s="60">
        <f>+'S&amp;D'!G30</f>
        <v>80.02</v>
      </c>
      <c r="E25" s="61">
        <f>+'S&amp;D'!D50</f>
        <v>5779411931.8599997</v>
      </c>
      <c r="F25" s="54">
        <f>+'Dividends '!H24</f>
        <v>3.0992251937015748E-2</v>
      </c>
      <c r="G25" s="54">
        <v>1.4999999999999999E-2</v>
      </c>
      <c r="H25" s="54">
        <v>0</v>
      </c>
      <c r="I25" s="325">
        <f>+F25+G25</f>
        <v>4.5992251937015748E-2</v>
      </c>
      <c r="J25" s="325">
        <f>+F25+H25</f>
        <v>3.0992251937015748E-2</v>
      </c>
      <c r="K25" s="13"/>
    </row>
    <row r="26" spans="1:11" ht="17.25">
      <c r="A26" s="44" t="str">
        <f>+'S&amp;D'!A31</f>
        <v>Spire Inc / Laclede Group Inc</v>
      </c>
      <c r="B26" s="35" t="str">
        <f>+'S&amp;D'!B31</f>
        <v>SR</v>
      </c>
      <c r="C26" s="35" t="str">
        <f>+'S&amp;D'!C31</f>
        <v>Gas Utility</v>
      </c>
      <c r="D26" s="60">
        <f>+'S&amp;D'!G31</f>
        <v>82.7</v>
      </c>
      <c r="E26" s="61">
        <f>+'S&amp;D'!D51</f>
        <v>4887570000</v>
      </c>
      <c r="F26" s="54">
        <f>+'Dividends '!H25</f>
        <v>4.1837968561064087E-2</v>
      </c>
      <c r="G26" s="54">
        <v>0.05</v>
      </c>
      <c r="H26" s="54">
        <v>8.5000000000000006E-2</v>
      </c>
      <c r="I26" s="325">
        <f t="shared" si="0"/>
        <v>9.183796856106409E-2</v>
      </c>
      <c r="J26" s="325">
        <f t="shared" si="1"/>
        <v>0.12683796856106411</v>
      </c>
      <c r="K26" s="13"/>
    </row>
    <row r="27" spans="1:11" ht="18" thickBot="1">
      <c r="A27" s="44" t="str">
        <f>+'S&amp;D'!A32</f>
        <v>WEC Energy Group</v>
      </c>
      <c r="B27" s="35" t="str">
        <f>+'S&amp;D'!B32</f>
        <v>WEC</v>
      </c>
      <c r="C27" s="35" t="str">
        <f>+'S&amp;D'!C32</f>
        <v>Electric Utility - Central</v>
      </c>
      <c r="D27" s="60">
        <f>+'S&amp;D'!G32</f>
        <v>105.46</v>
      </c>
      <c r="E27" s="61">
        <f>+'S&amp;D'!D52</f>
        <v>34323171793.739998</v>
      </c>
      <c r="F27" s="326">
        <f>+'Dividends '!H26</f>
        <v>3.7929072634174096E-2</v>
      </c>
      <c r="G27" s="326">
        <v>7.0000000000000007E-2</v>
      </c>
      <c r="H27" s="326">
        <v>0.06</v>
      </c>
      <c r="I27" s="327">
        <f t="shared" si="0"/>
        <v>0.1079290726341741</v>
      </c>
      <c r="J27" s="327">
        <f t="shared" si="1"/>
        <v>9.7929072634174094E-2</v>
      </c>
      <c r="K27" s="13"/>
    </row>
    <row r="28" spans="1:11" ht="17.25" thickTop="1">
      <c r="A28" s="13"/>
      <c r="B28" s="13"/>
      <c r="C28" s="15" t="s">
        <v>0</v>
      </c>
      <c r="D28" s="16" t="s">
        <v>0</v>
      </c>
      <c r="E28" s="16" t="s">
        <v>56</v>
      </c>
      <c r="F28" s="365">
        <f>MAX(F17:F27)</f>
        <v>4.5533391153512577E-2</v>
      </c>
      <c r="G28" s="268">
        <f t="shared" ref="G28:J28" si="2">MAX(G17:G27)</f>
        <v>0.5</v>
      </c>
      <c r="H28" s="17">
        <f t="shared" si="2"/>
        <v>8.5000000000000006E-2</v>
      </c>
      <c r="I28" s="17">
        <f t="shared" si="2"/>
        <v>0.542148053059478</v>
      </c>
      <c r="J28" s="17">
        <f t="shared" si="2"/>
        <v>0.12683796856106411</v>
      </c>
      <c r="K28" s="13"/>
    </row>
    <row r="29" spans="1:11" ht="16.5">
      <c r="A29" s="13"/>
      <c r="B29" s="13"/>
      <c r="C29" s="15"/>
      <c r="D29" s="16"/>
      <c r="E29" s="16" t="s">
        <v>57</v>
      </c>
      <c r="F29" s="366">
        <f>MIN(F17:F27)</f>
        <v>2.5293801825448908E-2</v>
      </c>
      <c r="G29" s="300">
        <f t="shared" ref="G29:J29" si="3">MIN(G17:G27)</f>
        <v>1.4999999999999999E-2</v>
      </c>
      <c r="H29" s="270">
        <f t="shared" si="3"/>
        <v>0</v>
      </c>
      <c r="I29" s="270">
        <f t="shared" si="3"/>
        <v>4.5992251937015748E-2</v>
      </c>
      <c r="J29" s="270">
        <f t="shared" si="3"/>
        <v>3.0992251937015748E-2</v>
      </c>
      <c r="K29" s="13"/>
    </row>
    <row r="30" spans="1:11" ht="16.5">
      <c r="A30" s="13"/>
      <c r="B30" s="13"/>
      <c r="D30" s="18" t="s">
        <v>0</v>
      </c>
      <c r="E30" s="15" t="s">
        <v>18</v>
      </c>
      <c r="F30" s="55">
        <f>MEDIAN(F17:F27)</f>
        <v>3.5750035750035748E-2</v>
      </c>
      <c r="G30" s="328">
        <f>MEDIAN(G17:G27)</f>
        <v>0.06</v>
      </c>
      <c r="H30" s="328">
        <f>MEDIAN(H17:H27)</f>
        <v>0.06</v>
      </c>
      <c r="I30" s="329">
        <f>MEDIAN(I17:I27)</f>
        <v>0.10499478351591027</v>
      </c>
      <c r="J30" s="329">
        <f>MEDIAN(J17:J27)</f>
        <v>9.7929072634174094E-2</v>
      </c>
      <c r="K30" s="13"/>
    </row>
    <row r="31" spans="1:11" ht="16.5">
      <c r="A31" s="13"/>
      <c r="B31" s="13"/>
      <c r="D31" s="22" t="s">
        <v>0</v>
      </c>
      <c r="E31" s="15" t="s">
        <v>413</v>
      </c>
      <c r="F31" s="55">
        <f>AVERAGE(F17:F27)</f>
        <v>3.614850540624244E-2</v>
      </c>
      <c r="G31" s="55">
        <f>AVERAGE(G17:G27)</f>
        <v>9.40909090909091E-2</v>
      </c>
      <c r="H31" s="328">
        <f>AVERAGE(H17:H27)</f>
        <v>5.7727272727272731E-2</v>
      </c>
      <c r="I31" s="329">
        <f>AVERAGE(I17:I27)</f>
        <v>0.13023941449715154</v>
      </c>
      <c r="J31" s="329">
        <f>AVERAGE(J17:J27)</f>
        <v>9.3875778133515164E-2</v>
      </c>
      <c r="K31" s="13"/>
    </row>
    <row r="32" spans="1:11" ht="16.5">
      <c r="A32" s="13"/>
      <c r="B32" s="13"/>
      <c r="C32" s="15"/>
      <c r="D32" s="22"/>
      <c r="E32" s="23"/>
      <c r="F32" s="19"/>
      <c r="G32" s="19"/>
      <c r="H32" s="20"/>
      <c r="I32" s="21"/>
      <c r="J32" s="21"/>
      <c r="K32" s="13"/>
    </row>
    <row r="33" spans="1:11" ht="17.25" thickBo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27" thickBot="1">
      <c r="A34" s="13"/>
      <c r="B34" s="13"/>
      <c r="C34" s="13"/>
      <c r="D34" s="13"/>
      <c r="E34" s="13"/>
      <c r="F34" s="13"/>
      <c r="G34" s="173" t="s">
        <v>191</v>
      </c>
      <c r="H34" s="175"/>
      <c r="I34" s="330">
        <v>0.13020000000000001</v>
      </c>
      <c r="J34" s="13"/>
      <c r="K34" s="13"/>
    </row>
    <row r="35" spans="1:11" ht="17.25" thickBo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27" thickBot="1">
      <c r="A36" s="13"/>
      <c r="B36" s="13"/>
      <c r="C36" s="13"/>
      <c r="D36" s="13"/>
      <c r="E36" s="13"/>
      <c r="F36" s="13"/>
      <c r="G36" s="173" t="s">
        <v>190</v>
      </c>
      <c r="H36" s="176"/>
      <c r="I36" s="330">
        <v>9.3899999999999997E-2</v>
      </c>
      <c r="J36" s="13"/>
      <c r="K36" s="13"/>
    </row>
    <row r="37" spans="1:11" ht="16.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1" ht="26.25">
      <c r="A38" s="25" t="s">
        <v>356</v>
      </c>
      <c r="B38" s="13"/>
      <c r="C38" s="25" t="s">
        <v>357</v>
      </c>
      <c r="D38" s="13"/>
      <c r="E38" s="13"/>
      <c r="F38" s="13"/>
      <c r="G38" s="13"/>
      <c r="H38" s="13"/>
      <c r="I38" s="13"/>
      <c r="J38" s="13"/>
    </row>
    <row r="39" spans="1:11" ht="17.25">
      <c r="A39" s="63" t="s">
        <v>358</v>
      </c>
      <c r="B39" s="13"/>
      <c r="C39" s="63" t="s">
        <v>358</v>
      </c>
      <c r="D39" s="13"/>
      <c r="E39" s="13"/>
      <c r="F39" s="13"/>
      <c r="G39" s="13"/>
      <c r="H39" s="13"/>
      <c r="I39" s="13"/>
      <c r="J39" s="13"/>
    </row>
    <row r="40" spans="1:11" ht="17.25">
      <c r="A40" s="63" t="s">
        <v>359</v>
      </c>
      <c r="B40" s="13"/>
      <c r="C40" s="63" t="s">
        <v>360</v>
      </c>
      <c r="D40" s="13"/>
      <c r="E40" s="13"/>
      <c r="F40" s="13"/>
      <c r="G40" s="13"/>
      <c r="H40" s="13"/>
      <c r="I40" s="13"/>
      <c r="J40" s="13"/>
    </row>
    <row r="41" spans="1:11" ht="16.5">
      <c r="A41" s="44"/>
      <c r="B41" s="13"/>
      <c r="C41" s="44"/>
      <c r="D41" s="13"/>
      <c r="E41" s="13"/>
      <c r="F41" s="13"/>
      <c r="G41" s="13"/>
      <c r="H41" s="13"/>
      <c r="I41" s="13"/>
      <c r="J41" s="13"/>
    </row>
    <row r="42" spans="1:11" ht="16.5">
      <c r="A42" s="44"/>
      <c r="B42" s="13"/>
      <c r="C42" s="44"/>
      <c r="D42" s="13"/>
      <c r="E42" s="13"/>
      <c r="F42" s="13"/>
      <c r="G42" s="13"/>
      <c r="H42" s="13"/>
      <c r="I42" s="13"/>
      <c r="J42" s="13"/>
    </row>
    <row r="43" spans="1:11" ht="26.25">
      <c r="A43" s="25" t="s">
        <v>213</v>
      </c>
      <c r="B43" s="13"/>
      <c r="C43" s="25" t="s">
        <v>213</v>
      </c>
      <c r="D43" s="13"/>
      <c r="E43" s="13"/>
      <c r="F43" s="13"/>
      <c r="G43" s="13"/>
      <c r="H43" s="13"/>
      <c r="I43" s="13"/>
      <c r="J43" s="13"/>
    </row>
    <row r="44" spans="1:11" ht="16.5">
      <c r="A44" s="44"/>
      <c r="B44" s="13"/>
      <c r="C44" s="44"/>
      <c r="D44" s="13"/>
      <c r="E44" s="13"/>
      <c r="F44" s="13"/>
      <c r="H44" s="13"/>
      <c r="I44" s="13"/>
      <c r="J44" s="13"/>
    </row>
    <row r="45" spans="1:11" ht="17.25">
      <c r="A45" s="63" t="s">
        <v>214</v>
      </c>
      <c r="B45" s="13"/>
      <c r="C45" s="63" t="s">
        <v>214</v>
      </c>
      <c r="D45" s="13"/>
      <c r="E45" s="13"/>
      <c r="F45" s="13"/>
      <c r="G45" s="13"/>
      <c r="H45" s="13"/>
      <c r="I45" s="13"/>
      <c r="J45" s="13"/>
    </row>
    <row r="46" spans="1:11" ht="17.25">
      <c r="A46" s="63" t="s">
        <v>212</v>
      </c>
      <c r="B46" s="13"/>
      <c r="C46" s="63" t="s">
        <v>212</v>
      </c>
      <c r="D46" s="13"/>
      <c r="E46" s="13"/>
      <c r="F46" s="13"/>
      <c r="G46" s="13"/>
      <c r="H46" s="13"/>
      <c r="I46" s="13"/>
      <c r="J46" s="13"/>
    </row>
    <row r="47" spans="1:11" ht="17.25">
      <c r="A47" s="63" t="s">
        <v>215</v>
      </c>
      <c r="B47" s="13"/>
      <c r="C47" s="63" t="s">
        <v>215</v>
      </c>
      <c r="D47" s="13"/>
      <c r="E47" s="13"/>
      <c r="F47" s="13"/>
      <c r="G47" s="13"/>
      <c r="H47" s="13"/>
      <c r="I47" s="13"/>
      <c r="J47" s="13"/>
    </row>
    <row r="48" spans="1:11" ht="17.25">
      <c r="A48" s="63" t="s">
        <v>361</v>
      </c>
      <c r="B48" s="13"/>
      <c r="C48" s="63" t="s">
        <v>362</v>
      </c>
      <c r="D48" s="13"/>
      <c r="E48" s="13"/>
      <c r="F48" s="13"/>
      <c r="G48" s="13"/>
      <c r="H48" s="13"/>
      <c r="I48" s="13"/>
      <c r="J48" s="13"/>
    </row>
    <row r="49" spans="1:10" ht="17.25">
      <c r="A49" s="63"/>
      <c r="B49" s="13"/>
      <c r="C49" s="63"/>
      <c r="D49" s="13"/>
      <c r="E49" s="13"/>
      <c r="F49" s="13"/>
      <c r="G49" s="13"/>
      <c r="H49" s="13"/>
      <c r="I49" s="13"/>
      <c r="J49" s="13"/>
    </row>
    <row r="50" spans="1:10" ht="17.25">
      <c r="A50" s="63"/>
      <c r="B50" s="13"/>
      <c r="C50" s="63"/>
      <c r="D50" s="13"/>
      <c r="E50" s="13"/>
      <c r="F50" s="13"/>
      <c r="G50" s="13"/>
      <c r="H50" s="13"/>
      <c r="I50" s="13"/>
      <c r="J50" s="13"/>
    </row>
  </sheetData>
  <phoneticPr fontId="79" type="noConversion"/>
  <pageMargins left="0.25" right="0.25" top="0.75" bottom="0.75" header="0.3" footer="0.3"/>
  <pageSetup scale="4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50D5-3409-4DE1-88B0-B66A1BCAC2E5}">
  <sheetPr>
    <tabColor rgb="FF92D050"/>
  </sheetPr>
  <dimension ref="A1:K117"/>
  <sheetViews>
    <sheetView view="pageBreakPreview" topLeftCell="A17" zoomScale="70" zoomScaleNormal="80" zoomScaleSheetLayoutView="70" workbookViewId="0">
      <selection activeCell="H39" sqref="H39"/>
    </sheetView>
  </sheetViews>
  <sheetFormatPr defaultRowHeight="15"/>
  <cols>
    <col min="1" max="1" width="47.85546875" customWidth="1"/>
    <col min="2" max="2" width="15.28515625" customWidth="1"/>
    <col min="3" max="3" width="24.5703125" customWidth="1"/>
    <col min="4" max="4" width="26.5703125" customWidth="1"/>
    <col min="5" max="5" width="33" customWidth="1"/>
    <col min="6" max="6" width="22.42578125" customWidth="1"/>
    <col min="7" max="7" width="27" customWidth="1"/>
    <col min="8" max="8" width="43" customWidth="1"/>
    <col min="9" max="9" width="15.28515625" customWidth="1"/>
    <col min="10" max="10" width="24.5703125" customWidth="1"/>
    <col min="11" max="11" width="24.140625" customWidth="1"/>
    <col min="13" max="13" width="10.5703125" customWidth="1"/>
  </cols>
  <sheetData>
    <row r="1" spans="1:9" ht="26.25">
      <c r="A1" s="25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7.25">
      <c r="A2" s="26" t="s">
        <v>9</v>
      </c>
      <c r="B2" s="13"/>
      <c r="C2" s="13"/>
      <c r="D2" s="13"/>
      <c r="E2" s="13"/>
      <c r="F2" s="13"/>
      <c r="G2" s="13"/>
      <c r="H2" s="13"/>
      <c r="I2" s="13"/>
    </row>
    <row r="3" spans="1:9" ht="16.5">
      <c r="A3" s="27" t="s">
        <v>485</v>
      </c>
      <c r="B3" s="13"/>
      <c r="C3" s="13"/>
      <c r="D3" s="13"/>
      <c r="E3" s="13"/>
      <c r="F3" s="13"/>
      <c r="G3" s="13"/>
      <c r="H3" s="13"/>
      <c r="I3" s="13"/>
    </row>
    <row r="4" spans="1:9" ht="16.5">
      <c r="A4" s="27"/>
      <c r="B4" s="13"/>
      <c r="C4" s="13"/>
      <c r="D4" s="13"/>
      <c r="E4" s="13"/>
      <c r="F4" s="13"/>
      <c r="G4" s="13"/>
      <c r="H4" s="13"/>
      <c r="I4" s="13"/>
    </row>
    <row r="5" spans="1:9" ht="17.25" thickBot="1">
      <c r="A5" s="13"/>
      <c r="B5" s="13"/>
      <c r="C5" s="13"/>
      <c r="D5" s="13"/>
      <c r="E5" s="13"/>
      <c r="F5" s="13"/>
      <c r="G5" s="13"/>
      <c r="H5" s="13"/>
      <c r="I5" s="28"/>
    </row>
    <row r="6" spans="1:9" ht="21" thickBot="1">
      <c r="A6" s="237" t="str">
        <f>+'S&amp;D'!A12</f>
        <v>Natural Gas Utility Distribution</v>
      </c>
      <c r="B6" s="176"/>
      <c r="C6" s="13"/>
      <c r="D6" s="13"/>
      <c r="E6" s="13"/>
      <c r="F6" s="13"/>
      <c r="G6" s="13"/>
      <c r="H6" s="13"/>
      <c r="I6" s="13"/>
    </row>
    <row r="7" spans="1:9" ht="20.25">
      <c r="A7" s="31"/>
      <c r="B7" s="13"/>
      <c r="C7" s="13"/>
      <c r="D7" s="13"/>
      <c r="E7" s="13"/>
      <c r="F7" s="13"/>
      <c r="G7" s="13"/>
      <c r="H7" s="13"/>
      <c r="I7" s="13"/>
    </row>
    <row r="8" spans="1:9" ht="21" thickBot="1">
      <c r="A8" s="31"/>
      <c r="B8" s="13"/>
      <c r="C8" s="13"/>
      <c r="D8" s="30"/>
      <c r="E8" s="30"/>
      <c r="F8" s="30"/>
      <c r="G8" s="13"/>
      <c r="H8" s="13"/>
      <c r="I8" s="13"/>
    </row>
    <row r="9" spans="1:9" ht="26.25">
      <c r="A9" s="31"/>
      <c r="B9" s="13"/>
      <c r="C9" s="13"/>
      <c r="D9" s="13"/>
      <c r="E9" s="32" t="s">
        <v>192</v>
      </c>
      <c r="F9" s="13"/>
      <c r="G9" s="13"/>
      <c r="H9" s="13"/>
      <c r="I9" s="13"/>
    </row>
    <row r="10" spans="1:9" ht="21" thickBot="1">
      <c r="A10" s="31"/>
      <c r="B10" s="13"/>
      <c r="C10" s="13"/>
      <c r="D10" s="30"/>
      <c r="E10" s="37" t="s">
        <v>498</v>
      </c>
      <c r="F10" s="30"/>
      <c r="G10" s="13"/>
      <c r="H10" s="13"/>
      <c r="I10" s="13"/>
    </row>
    <row r="11" spans="1:9" ht="20.25">
      <c r="A11" s="31"/>
      <c r="B11" s="13"/>
      <c r="C11" s="13"/>
      <c r="D11" s="13"/>
      <c r="E11" s="13"/>
      <c r="F11" s="35"/>
      <c r="G11" s="35"/>
      <c r="H11" s="13"/>
      <c r="I11" s="13"/>
    </row>
    <row r="12" spans="1:9" ht="20.25">
      <c r="A12" s="31"/>
      <c r="B12" s="13"/>
      <c r="C12" s="13"/>
      <c r="D12" s="13"/>
      <c r="E12" s="13"/>
      <c r="F12" s="35"/>
      <c r="G12" s="35"/>
      <c r="H12" s="13"/>
      <c r="I12" s="13"/>
    </row>
    <row r="13" spans="1:9" ht="45.75" customHeight="1" thickBot="1">
      <c r="A13" s="34" t="s">
        <v>0</v>
      </c>
      <c r="B13" s="34" t="s">
        <v>0</v>
      </c>
      <c r="C13" s="34" t="s">
        <v>0</v>
      </c>
      <c r="D13" s="30"/>
      <c r="E13" s="30"/>
      <c r="F13" s="34" t="s">
        <v>0</v>
      </c>
      <c r="G13" s="34"/>
      <c r="H13" s="34"/>
      <c r="I13" s="13"/>
    </row>
    <row r="14" spans="1:9" ht="16.5">
      <c r="A14" s="35" t="s">
        <v>0</v>
      </c>
      <c r="B14" s="35" t="s">
        <v>3</v>
      </c>
      <c r="C14" s="35" t="s">
        <v>5</v>
      </c>
      <c r="D14" s="35" t="s">
        <v>188</v>
      </c>
      <c r="E14" s="35" t="s">
        <v>189</v>
      </c>
      <c r="F14" s="35" t="s">
        <v>193</v>
      </c>
      <c r="G14" s="35" t="s">
        <v>19</v>
      </c>
      <c r="H14" s="35" t="s">
        <v>195</v>
      </c>
      <c r="I14" s="13"/>
    </row>
    <row r="15" spans="1:9" ht="16.5">
      <c r="A15" s="35" t="s">
        <v>2</v>
      </c>
      <c r="B15" s="35" t="s">
        <v>4</v>
      </c>
      <c r="C15" s="35" t="s">
        <v>6</v>
      </c>
      <c r="D15" s="35" t="s">
        <v>368</v>
      </c>
      <c r="E15" s="35" t="s">
        <v>370</v>
      </c>
      <c r="F15" s="35" t="s">
        <v>141</v>
      </c>
      <c r="G15" s="35" t="s">
        <v>194</v>
      </c>
      <c r="H15" s="35" t="s">
        <v>183</v>
      </c>
      <c r="I15" s="13"/>
    </row>
    <row r="16" spans="1:9" ht="16.5">
      <c r="A16" s="35"/>
      <c r="B16" s="35" t="s">
        <v>0</v>
      </c>
      <c r="C16" s="35" t="s">
        <v>0</v>
      </c>
      <c r="D16" s="35" t="s">
        <v>0</v>
      </c>
      <c r="E16" s="36" t="s">
        <v>369</v>
      </c>
      <c r="F16" s="36" t="s">
        <v>0</v>
      </c>
      <c r="G16" s="35" t="s">
        <v>199</v>
      </c>
      <c r="H16" s="36" t="s">
        <v>200</v>
      </c>
      <c r="I16" s="13"/>
    </row>
    <row r="17" spans="1:11" ht="18" customHeight="1" thickBot="1">
      <c r="A17" s="67" t="s">
        <v>0</v>
      </c>
      <c r="B17" s="38" t="s">
        <v>0</v>
      </c>
      <c r="C17" s="38" t="s">
        <v>0</v>
      </c>
      <c r="D17" s="33" t="s">
        <v>197</v>
      </c>
      <c r="E17" s="33" t="s">
        <v>198</v>
      </c>
      <c r="F17" s="33" t="s">
        <v>196</v>
      </c>
      <c r="G17" s="35" t="s">
        <v>112</v>
      </c>
      <c r="H17" s="147"/>
      <c r="I17" s="13"/>
    </row>
    <row r="18" spans="1:11" ht="16.5">
      <c r="A18" s="39" t="s">
        <v>0</v>
      </c>
      <c r="B18" s="39" t="s">
        <v>0</v>
      </c>
      <c r="C18" s="39" t="s">
        <v>0</v>
      </c>
      <c r="D18" s="39" t="s">
        <v>7</v>
      </c>
      <c r="E18" s="39" t="s">
        <v>7</v>
      </c>
      <c r="F18" s="39" t="s">
        <v>0</v>
      </c>
      <c r="G18" s="68" t="s">
        <v>0</v>
      </c>
      <c r="H18" s="39" t="s">
        <v>0</v>
      </c>
      <c r="I18" s="13"/>
    </row>
    <row r="19" spans="1:11" ht="16.5">
      <c r="A19" s="35"/>
      <c r="B19" s="35"/>
      <c r="C19" s="35"/>
      <c r="D19" s="35"/>
      <c r="E19" s="13"/>
      <c r="F19" s="35"/>
      <c r="G19" s="13"/>
      <c r="H19" s="13"/>
      <c r="I19" s="13"/>
      <c r="J19" t="s">
        <v>0</v>
      </c>
      <c r="K19" t="s">
        <v>0</v>
      </c>
    </row>
    <row r="20" spans="1:11" ht="16.5">
      <c r="A20" s="13"/>
      <c r="B20" s="13"/>
      <c r="C20" s="13"/>
      <c r="D20" s="13"/>
      <c r="E20" s="13"/>
      <c r="F20" s="13"/>
      <c r="G20" s="13"/>
      <c r="H20" s="13" t="s">
        <v>0</v>
      </c>
      <c r="I20" s="13"/>
      <c r="J20" t="s">
        <v>0</v>
      </c>
      <c r="K20" t="s">
        <v>0</v>
      </c>
    </row>
    <row r="21" spans="1:11" ht="17.25">
      <c r="A21" s="44" t="str">
        <f>+'S&amp;D'!A22</f>
        <v>Atmos Energy Corp</v>
      </c>
      <c r="B21" s="35" t="str">
        <f>+'S&amp;D'!B22</f>
        <v>ATO</v>
      </c>
      <c r="C21" s="35" t="str">
        <f>+'S&amp;D'!C22</f>
        <v>Gas Utility</v>
      </c>
      <c r="D21" s="66">
        <f>+'Single Stage Div Growth Model'!F17</f>
        <v>2.5293801825448908E-2</v>
      </c>
      <c r="E21" s="66">
        <f>+'Single Stage Div Growth Model'!H17</f>
        <v>0.05</v>
      </c>
      <c r="F21" s="178">
        <f>+'Growth &amp; Inflation Rates'!F56</f>
        <v>4.2900000000000001E-2</v>
      </c>
      <c r="G21" s="66">
        <f>(F21+E21)/2</f>
        <v>4.6450000000000005E-2</v>
      </c>
      <c r="H21" s="66">
        <f>D21*(1+(0.5*G21))+(0.67*E21)+(0.33*F21)</f>
        <v>7.3538250372844963E-2</v>
      </c>
      <c r="I21" s="13"/>
      <c r="J21" t="s">
        <v>0</v>
      </c>
      <c r="K21" t="s">
        <v>0</v>
      </c>
    </row>
    <row r="22" spans="1:11" ht="16.5">
      <c r="A22" s="44" t="str">
        <f>+'S&amp;D'!A23</f>
        <v>Black Hills Corporation</v>
      </c>
      <c r="B22" s="35" t="str">
        <f>+'S&amp;D'!B23</f>
        <v>BKH</v>
      </c>
      <c r="C22" s="35" t="str">
        <f>+'S&amp;D'!C23</f>
        <v>Electric Utility - West</v>
      </c>
      <c r="D22" s="66">
        <f>+'Single Stage Div Growth Model'!F18</f>
        <v>4.177470469605301E-2</v>
      </c>
      <c r="E22" s="66">
        <f>+'Single Stage Div Growth Model'!H18</f>
        <v>3.5000000000000003E-2</v>
      </c>
      <c r="F22" s="66">
        <f>+F21</f>
        <v>4.2900000000000001E-2</v>
      </c>
      <c r="G22" s="66">
        <f t="shared" ref="G22:G31" si="0">(F22+E22)/2</f>
        <v>3.8949999999999999E-2</v>
      </c>
      <c r="H22" s="66">
        <f t="shared" ref="H22:H31" si="1">D22*(1+(0.5*G22))+(0.67*E22)+(0.33*F22)</f>
        <v>8.0195267070008638E-2</v>
      </c>
      <c r="I22" s="13"/>
      <c r="J22" t="s">
        <v>0</v>
      </c>
      <c r="K22" t="s">
        <v>0</v>
      </c>
    </row>
    <row r="23" spans="1:11" ht="16.5">
      <c r="A23" s="44" t="str">
        <f>+'S&amp;D'!A24</f>
        <v>CenterPoint Energy Inc.</v>
      </c>
      <c r="B23" s="35" t="str">
        <f>+'S&amp;D'!B24</f>
        <v>CNP</v>
      </c>
      <c r="C23" s="35" t="str">
        <f>+'S&amp;D'!C24</f>
        <v>Electric Utility - Central</v>
      </c>
      <c r="D23" s="66">
        <f>+'Single Stage Div Growth Model'!F19</f>
        <v>2.999478351591027E-2</v>
      </c>
      <c r="E23" s="66">
        <f>+'Single Stage Div Growth Model'!H19</f>
        <v>0.08</v>
      </c>
      <c r="F23" s="66">
        <f>+F21</f>
        <v>4.2900000000000001E-2</v>
      </c>
      <c r="G23" s="66">
        <f t="shared" si="0"/>
        <v>6.1450000000000005E-2</v>
      </c>
      <c r="H23" s="66">
        <f t="shared" si="1"/>
        <v>9.8673373239436618E-2</v>
      </c>
      <c r="I23" s="13"/>
      <c r="J23" t="s">
        <v>0</v>
      </c>
      <c r="K23" t="s">
        <v>0</v>
      </c>
    </row>
    <row r="24" spans="1:11" ht="16.5">
      <c r="A24" s="44" t="str">
        <f>+'S&amp;D'!A25</f>
        <v>CMS Energy Corporation</v>
      </c>
      <c r="B24" s="35" t="str">
        <f>+'S&amp;D'!B25</f>
        <v>CMS</v>
      </c>
      <c r="C24" s="35" t="str">
        <f>+'S&amp;D'!C25</f>
        <v>Electric Utility - Central</v>
      </c>
      <c r="D24" s="66">
        <f>+'Single Stage Div Growth Model'!F20</f>
        <v>3.5750035750035748E-2</v>
      </c>
      <c r="E24" s="66">
        <f>+'Single Stage Div Growth Model'!H20</f>
        <v>0.08</v>
      </c>
      <c r="F24" s="66">
        <f>+F21</f>
        <v>4.2900000000000001E-2</v>
      </c>
      <c r="G24" s="66">
        <f t="shared" si="0"/>
        <v>6.1450000000000005E-2</v>
      </c>
      <c r="H24" s="66">
        <f t="shared" si="1"/>
        <v>0.1046054555984556</v>
      </c>
      <c r="I24" s="13"/>
      <c r="J24" t="s">
        <v>0</v>
      </c>
      <c r="K24" t="s">
        <v>0</v>
      </c>
    </row>
    <row r="25" spans="1:11" ht="16.5">
      <c r="A25" s="44" t="str">
        <f>+'S&amp;D'!A26</f>
        <v>New Jersey Resources Corp</v>
      </c>
      <c r="B25" s="35" t="str">
        <f>+'S&amp;D'!B26</f>
        <v>NJR</v>
      </c>
      <c r="C25" s="35" t="str">
        <f>+'S&amp;D'!C26</f>
        <v>Gas Utility</v>
      </c>
      <c r="D25" s="66">
        <f>+'Single Stage Div Growth Model'!F21</f>
        <v>4.5533391153512577E-2</v>
      </c>
      <c r="E25" s="66">
        <f>+'Single Stage Div Growth Model'!H21</f>
        <v>0.05</v>
      </c>
      <c r="F25" s="66">
        <f>+F21</f>
        <v>4.2900000000000001E-2</v>
      </c>
      <c r="G25" s="66">
        <f t="shared" si="0"/>
        <v>4.6450000000000005E-2</v>
      </c>
      <c r="H25" s="66">
        <f t="shared" si="1"/>
        <v>9.4247904163052912E-2</v>
      </c>
      <c r="I25" s="13"/>
      <c r="J25" s="12" t="s">
        <v>0</v>
      </c>
      <c r="K25" t="s">
        <v>0</v>
      </c>
    </row>
    <row r="26" spans="1:11" ht="16.5">
      <c r="A26" s="44" t="str">
        <f>+'S&amp;D'!A27</f>
        <v>NISOURCE Inc.</v>
      </c>
      <c r="B26" s="35" t="str">
        <f>+'S&amp;D'!B27</f>
        <v>NI</v>
      </c>
      <c r="C26" s="35" t="str">
        <f>+'S&amp;D'!C27</f>
        <v>Gas Utility</v>
      </c>
      <c r="D26" s="66">
        <f>+'Single Stage Div Growth Model'!F22</f>
        <v>3.0651340996168584E-2</v>
      </c>
      <c r="E26" s="66">
        <f>+'Single Stage Div Growth Model'!H22</f>
        <v>7.4999999999999997E-2</v>
      </c>
      <c r="F26" s="66">
        <f>+F21</f>
        <v>4.2900000000000001E-2</v>
      </c>
      <c r="G26" s="66">
        <f t="shared" si="0"/>
        <v>5.8950000000000002E-2</v>
      </c>
      <c r="H26" s="66">
        <f t="shared" si="1"/>
        <v>9.5961789272030654E-2</v>
      </c>
      <c r="I26" s="13"/>
      <c r="J26" s="12" t="s">
        <v>0</v>
      </c>
    </row>
    <row r="27" spans="1:11" ht="16.5">
      <c r="A27" s="44" t="str">
        <f>+'S&amp;D'!A28</f>
        <v xml:space="preserve">Northwest Natural Holding Company </v>
      </c>
      <c r="B27" s="35" t="str">
        <f>+'S&amp;D'!B28</f>
        <v>NWN</v>
      </c>
      <c r="C27" s="35" t="str">
        <f>+'S&amp;D'!C28</f>
        <v>Gas Utility</v>
      </c>
      <c r="D27" s="66">
        <f>+'Single Stage Div Growth Model'!F23</f>
        <v>4.2148053059477962E-2</v>
      </c>
      <c r="E27" s="66">
        <f>+'Single Stage Div Growth Model'!H23</f>
        <v>0.06</v>
      </c>
      <c r="F27" s="66">
        <f>+F21</f>
        <v>4.2900000000000001E-2</v>
      </c>
      <c r="G27" s="66">
        <f t="shared" si="0"/>
        <v>5.1449999999999996E-2</v>
      </c>
      <c r="H27" s="66">
        <f t="shared" si="1"/>
        <v>9.7589311724433025E-2</v>
      </c>
      <c r="I27" s="13"/>
      <c r="J27" t="s">
        <v>0</v>
      </c>
    </row>
    <row r="28" spans="1:11" ht="16.5">
      <c r="A28" s="44" t="str">
        <f>+'S&amp;D'!A29</f>
        <v>One Gas INC</v>
      </c>
      <c r="B28" s="35" t="str">
        <f>+'S&amp;D'!B29</f>
        <v>OGS</v>
      </c>
      <c r="C28" s="35" t="str">
        <f>+'S&amp;D'!C29</f>
        <v>Gas Utility</v>
      </c>
      <c r="D28" s="66">
        <f>+'Single Stage Div Growth Model'!F24</f>
        <v>3.572815533980582E-2</v>
      </c>
      <c r="E28" s="66">
        <f>+'Single Stage Div Growth Model'!H24</f>
        <v>0.06</v>
      </c>
      <c r="F28" s="66">
        <f>+F21</f>
        <v>4.2900000000000001E-2</v>
      </c>
      <c r="G28" s="66">
        <f t="shared" si="0"/>
        <v>5.1449999999999996E-2</v>
      </c>
      <c r="H28" s="66">
        <f t="shared" si="1"/>
        <v>9.1004262135922331E-2</v>
      </c>
      <c r="I28" s="13"/>
    </row>
    <row r="29" spans="1:11" ht="16.5">
      <c r="A29" s="44" t="str">
        <f>+'S&amp;D'!A30</f>
        <v>Southwest Gas Holdings, Inc</v>
      </c>
      <c r="B29" s="35" t="str">
        <f>+'S&amp;D'!B30</f>
        <v>SWX</v>
      </c>
      <c r="C29" s="35" t="str">
        <f>+'S&amp;D'!C30</f>
        <v>Gas Utility</v>
      </c>
      <c r="D29" s="66">
        <f>+'Single Stage Div Growth Model'!F25</f>
        <v>3.0992251937015748E-2</v>
      </c>
      <c r="E29" s="66">
        <f>+'Single Stage Div Growth Model'!H25</f>
        <v>0</v>
      </c>
      <c r="F29" s="66">
        <f>+F21</f>
        <v>4.2900000000000001E-2</v>
      </c>
      <c r="G29" s="66">
        <f t="shared" si="0"/>
        <v>2.145E-2</v>
      </c>
      <c r="H29" s="66">
        <f t="shared" si="1"/>
        <v>4.5481643839040249E-2</v>
      </c>
      <c r="I29" s="13"/>
    </row>
    <row r="30" spans="1:11" ht="16.5">
      <c r="A30" s="44" t="str">
        <f>+'S&amp;D'!A31</f>
        <v>Spire Inc / Laclede Group Inc</v>
      </c>
      <c r="B30" s="35" t="str">
        <f>+'S&amp;D'!B31</f>
        <v>SR</v>
      </c>
      <c r="C30" s="35" t="str">
        <f>+'S&amp;D'!C31</f>
        <v>Gas Utility</v>
      </c>
      <c r="D30" s="66">
        <f>+'Single Stage Div Growth Model'!F26</f>
        <v>4.1837968561064087E-2</v>
      </c>
      <c r="E30" s="66">
        <f>+'Single Stage Div Growth Model'!H26</f>
        <v>8.5000000000000006E-2</v>
      </c>
      <c r="F30" s="66">
        <f>+F21</f>
        <v>4.2900000000000001E-2</v>
      </c>
      <c r="G30" s="66">
        <f t="shared" si="0"/>
        <v>6.3950000000000007E-2</v>
      </c>
      <c r="H30" s="66">
        <f t="shared" si="1"/>
        <v>0.11428273760580412</v>
      </c>
      <c r="I30" s="13"/>
    </row>
    <row r="31" spans="1:11" ht="17.25" thickBot="1">
      <c r="A31" s="44" t="str">
        <f>+'S&amp;D'!A32</f>
        <v>WEC Energy Group</v>
      </c>
      <c r="B31" s="35" t="str">
        <f>+'S&amp;D'!B32</f>
        <v>WEC</v>
      </c>
      <c r="C31" s="35" t="str">
        <f>+'S&amp;D'!C32</f>
        <v>Electric Utility - Central</v>
      </c>
      <c r="D31" s="66">
        <f>+'Single Stage Div Growth Model'!F27</f>
        <v>3.7929072634174096E-2</v>
      </c>
      <c r="E31" s="66">
        <f>+'Single Stage Div Growth Model'!H27</f>
        <v>0.06</v>
      </c>
      <c r="F31" s="66">
        <f>+F21</f>
        <v>4.2900000000000001E-2</v>
      </c>
      <c r="G31" s="66">
        <f t="shared" si="0"/>
        <v>5.1449999999999996E-2</v>
      </c>
      <c r="H31" s="143">
        <f t="shared" si="1"/>
        <v>9.326179802768822E-2</v>
      </c>
      <c r="I31" s="13"/>
    </row>
    <row r="32" spans="1:11" ht="17.25" thickTop="1">
      <c r="A32" s="13"/>
      <c r="B32" s="13"/>
      <c r="C32" s="13"/>
      <c r="D32" s="13"/>
      <c r="E32" s="13"/>
      <c r="F32" s="13"/>
      <c r="G32" s="167" t="s">
        <v>56</v>
      </c>
      <c r="H32" s="56">
        <f>MAX(H21:H31)</f>
        <v>0.11428273760580412</v>
      </c>
      <c r="I32" s="13"/>
    </row>
    <row r="33" spans="1:9" ht="16.5">
      <c r="A33" s="13"/>
      <c r="B33" s="13"/>
      <c r="C33" s="15" t="s">
        <v>0</v>
      </c>
      <c r="D33" s="16" t="s">
        <v>0</v>
      </c>
      <c r="E33" s="16" t="s">
        <v>0</v>
      </c>
      <c r="F33" s="17" t="s">
        <v>0</v>
      </c>
      <c r="G33" s="17" t="s">
        <v>57</v>
      </c>
      <c r="H33" s="263">
        <f>MIN(H21:H31)</f>
        <v>4.5481643839040249E-2</v>
      </c>
      <c r="I33" s="13"/>
    </row>
    <row r="34" spans="1:9" ht="16.5">
      <c r="A34" s="13"/>
      <c r="B34" s="13"/>
      <c r="D34" s="56" t="s">
        <v>0</v>
      </c>
      <c r="E34" s="50" t="s">
        <v>0</v>
      </c>
      <c r="F34" s="50" t="s">
        <v>0</v>
      </c>
      <c r="G34" s="15" t="s">
        <v>18</v>
      </c>
      <c r="H34" s="51">
        <f>MEDIAN(H21:H31)</f>
        <v>9.4247904163052912E-2</v>
      </c>
      <c r="I34" s="13"/>
    </row>
    <row r="35" spans="1:9" ht="16.5">
      <c r="A35" s="13"/>
      <c r="B35" s="13"/>
      <c r="D35" s="56" t="s">
        <v>0</v>
      </c>
      <c r="E35" s="50" t="s">
        <v>0</v>
      </c>
      <c r="F35" s="56" t="s">
        <v>0</v>
      </c>
      <c r="G35" s="15" t="s">
        <v>413</v>
      </c>
      <c r="H35" s="51">
        <f>AVERAGE(H21:H31)</f>
        <v>8.9894708458974307E-2</v>
      </c>
      <c r="I35" s="13"/>
    </row>
    <row r="36" spans="1:9" ht="16.5">
      <c r="A36" s="13"/>
      <c r="B36" s="13"/>
      <c r="C36" s="15"/>
      <c r="D36" s="19"/>
      <c r="E36" s="20"/>
      <c r="F36" s="19"/>
      <c r="G36" s="21"/>
      <c r="H36" s="21"/>
      <c r="I36" s="13"/>
    </row>
    <row r="37" spans="1:9" ht="17.25" thickBot="1">
      <c r="A37" s="13"/>
      <c r="B37" s="13"/>
      <c r="C37" s="13"/>
      <c r="D37" s="13"/>
      <c r="E37" s="13"/>
      <c r="F37" s="13"/>
      <c r="G37" s="13"/>
      <c r="H37" s="13"/>
      <c r="I37" s="13"/>
    </row>
    <row r="38" spans="1:9" ht="27" thickBot="1">
      <c r="A38" s="13"/>
      <c r="B38" s="13"/>
      <c r="C38" s="13"/>
      <c r="D38" s="13"/>
      <c r="F38" s="173"/>
      <c r="G38" s="174" t="s">
        <v>245</v>
      </c>
      <c r="H38" s="331">
        <v>8.9899999999999994E-2</v>
      </c>
      <c r="I38" s="13"/>
    </row>
    <row r="39" spans="1:9" ht="16.5">
      <c r="A39" s="13"/>
      <c r="B39" s="13"/>
      <c r="C39" s="13"/>
      <c r="D39" s="13"/>
      <c r="E39" s="13"/>
      <c r="F39" s="13"/>
      <c r="G39" s="13"/>
      <c r="H39" s="13"/>
      <c r="I39" s="13"/>
    </row>
    <row r="40" spans="1:9" ht="27">
      <c r="A40" s="25" t="s">
        <v>309</v>
      </c>
      <c r="B40" s="13"/>
      <c r="C40" s="13"/>
      <c r="D40" s="13"/>
      <c r="E40" s="13"/>
      <c r="F40" s="13"/>
      <c r="G40" s="24" t="s">
        <v>0</v>
      </c>
      <c r="H40" s="13"/>
      <c r="I40" s="13"/>
    </row>
    <row r="41" spans="1:9" ht="16.5">
      <c r="A41" s="44"/>
      <c r="B41" s="13"/>
      <c r="C41" s="13"/>
      <c r="D41" s="13"/>
      <c r="E41" s="13"/>
      <c r="F41" s="13"/>
      <c r="G41" s="13"/>
      <c r="H41" s="13"/>
      <c r="I41" s="13"/>
    </row>
    <row r="42" spans="1:9" ht="17.25">
      <c r="A42" s="63" t="s">
        <v>214</v>
      </c>
      <c r="B42" s="13"/>
      <c r="C42" s="13"/>
      <c r="D42" s="13"/>
      <c r="E42" s="13"/>
      <c r="F42" s="13"/>
      <c r="G42" s="13"/>
      <c r="H42" s="13"/>
      <c r="I42" s="13"/>
    </row>
    <row r="43" spans="1:9" ht="17.25">
      <c r="A43" s="63" t="s">
        <v>310</v>
      </c>
      <c r="B43" s="13"/>
      <c r="C43" s="13"/>
      <c r="D43" s="13"/>
      <c r="E43" s="13"/>
      <c r="F43" s="13"/>
      <c r="G43" s="13"/>
      <c r="H43" s="13"/>
      <c r="I43" s="13"/>
    </row>
    <row r="44" spans="1:9" ht="17.25">
      <c r="A44" s="63" t="s">
        <v>311</v>
      </c>
      <c r="B44" s="13"/>
      <c r="C44" s="13"/>
      <c r="D44" s="13"/>
      <c r="E44" s="13"/>
      <c r="F44" s="13"/>
      <c r="G44" s="13"/>
      <c r="H44" s="13"/>
      <c r="I44" s="13"/>
    </row>
    <row r="45" spans="1:9" ht="17.25">
      <c r="A45" s="63" t="s">
        <v>312</v>
      </c>
      <c r="B45" s="13"/>
      <c r="C45" s="13"/>
      <c r="D45" s="13"/>
      <c r="E45" s="13"/>
      <c r="F45" s="13"/>
      <c r="G45" s="13"/>
      <c r="H45" s="13"/>
      <c r="I45" s="13"/>
    </row>
    <row r="46" spans="1:9" ht="17.25">
      <c r="A46" s="63" t="s">
        <v>313</v>
      </c>
      <c r="B46" s="13"/>
      <c r="C46" s="13"/>
      <c r="D46" s="13"/>
      <c r="E46" s="13"/>
      <c r="F46" s="13"/>
      <c r="G46" s="13"/>
      <c r="H46" s="13"/>
      <c r="I46" s="13"/>
    </row>
    <row r="47" spans="1:9" ht="16.5">
      <c r="A47" s="13"/>
      <c r="B47" s="13"/>
      <c r="C47" s="13"/>
      <c r="D47" s="13"/>
      <c r="E47" s="13"/>
      <c r="F47" s="13"/>
      <c r="G47" s="13"/>
      <c r="H47" s="13"/>
      <c r="I47" s="13"/>
    </row>
    <row r="48" spans="1:9" ht="16.5">
      <c r="A48" s="44" t="s">
        <v>0</v>
      </c>
      <c r="B48" s="13"/>
      <c r="C48" s="13"/>
      <c r="D48" s="13"/>
      <c r="E48" s="13"/>
      <c r="F48" s="13"/>
      <c r="G48" s="13"/>
      <c r="H48" s="13"/>
      <c r="I48" s="13"/>
    </row>
    <row r="49" spans="1:9" ht="16.5">
      <c r="A49" s="44"/>
      <c r="B49" s="13"/>
      <c r="C49" s="13"/>
      <c r="D49" s="13"/>
      <c r="E49" s="13"/>
      <c r="F49" s="13"/>
      <c r="G49" s="13"/>
      <c r="H49" s="13"/>
      <c r="I49" s="13"/>
    </row>
    <row r="50" spans="1:9" ht="16.5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6.5">
      <c r="A51" s="13"/>
      <c r="B51" s="13"/>
      <c r="C51" s="13"/>
      <c r="D51" s="13"/>
      <c r="E51" s="13"/>
      <c r="F51" s="13"/>
      <c r="G51" s="13"/>
      <c r="H51" s="13"/>
      <c r="I51" s="13"/>
    </row>
    <row r="52" spans="1:9" ht="16.5">
      <c r="A52" s="13"/>
      <c r="B52" s="13"/>
      <c r="C52" s="13"/>
      <c r="D52" s="13"/>
      <c r="E52" s="13"/>
      <c r="F52" s="13"/>
      <c r="G52" s="13"/>
      <c r="H52" s="13"/>
      <c r="I52" s="13"/>
    </row>
    <row r="53" spans="1:9" ht="16.5">
      <c r="A53" s="13"/>
      <c r="B53" s="13"/>
      <c r="C53" s="13"/>
      <c r="D53" s="13"/>
      <c r="E53" s="13"/>
      <c r="F53" s="13"/>
      <c r="G53" s="13"/>
      <c r="H53" s="13"/>
      <c r="I53" s="13"/>
    </row>
    <row r="54" spans="1:9" ht="16.5">
      <c r="C54" s="13"/>
      <c r="D54" s="13"/>
      <c r="E54" s="13"/>
      <c r="F54" s="13"/>
      <c r="G54" s="13"/>
      <c r="H54" s="13"/>
      <c r="I54" s="13"/>
    </row>
    <row r="55" spans="1:9" ht="16.5">
      <c r="C55" s="13"/>
      <c r="D55" s="13"/>
      <c r="E55" s="13"/>
      <c r="F55" s="13"/>
      <c r="G55" s="13"/>
      <c r="H55" s="13"/>
      <c r="I55" s="13"/>
    </row>
    <row r="56" spans="1:9" ht="16.5">
      <c r="C56" s="13"/>
      <c r="D56" s="13"/>
      <c r="E56" s="13"/>
      <c r="F56" s="13"/>
      <c r="G56" s="13"/>
      <c r="H56" s="13"/>
      <c r="I56" s="13"/>
    </row>
    <row r="57" spans="1:9" ht="16.5">
      <c r="C57" s="13"/>
      <c r="D57" s="13"/>
      <c r="E57" s="13"/>
      <c r="F57" s="13"/>
      <c r="G57" s="13"/>
      <c r="H57" s="13"/>
      <c r="I57" s="13"/>
    </row>
    <row r="58" spans="1:9" ht="16.5">
      <c r="C58" s="13"/>
      <c r="D58" s="13"/>
      <c r="E58" s="13"/>
      <c r="F58" s="13"/>
      <c r="G58" s="13"/>
      <c r="H58" s="13"/>
      <c r="I58" s="13"/>
    </row>
    <row r="59" spans="1:9" ht="16.5">
      <c r="C59" s="13"/>
      <c r="D59" s="13"/>
      <c r="E59" s="13"/>
      <c r="F59" s="13"/>
      <c r="G59" s="13"/>
      <c r="H59" s="13"/>
      <c r="I59" s="13"/>
    </row>
    <row r="60" spans="1:9" ht="16.5">
      <c r="C60" s="13"/>
      <c r="D60" s="13"/>
      <c r="E60" s="13"/>
      <c r="F60" s="13"/>
      <c r="G60" s="13"/>
      <c r="H60" s="13"/>
      <c r="I60" s="13"/>
    </row>
    <row r="61" spans="1:9" ht="16.5">
      <c r="A61" s="13"/>
      <c r="B61" s="13"/>
      <c r="C61" s="13"/>
      <c r="D61" s="13"/>
      <c r="E61" s="13"/>
      <c r="F61" s="13"/>
      <c r="G61" s="13"/>
      <c r="H61" s="13"/>
      <c r="I61" s="13"/>
    </row>
    <row r="62" spans="1:9" ht="16.5">
      <c r="A62" s="13"/>
      <c r="B62" s="13"/>
      <c r="C62" s="13"/>
      <c r="D62" s="13"/>
      <c r="E62" s="13"/>
      <c r="F62" s="13"/>
      <c r="G62" s="13"/>
      <c r="H62" s="13"/>
      <c r="I62" s="13"/>
    </row>
    <row r="63" spans="1:9" ht="16.5">
      <c r="A63" s="13"/>
      <c r="B63" s="13"/>
      <c r="C63" s="13"/>
      <c r="D63" s="13"/>
      <c r="E63" s="13"/>
      <c r="F63" s="13"/>
      <c r="G63" s="13"/>
      <c r="H63" s="13"/>
      <c r="I63" s="13"/>
    </row>
    <row r="64" spans="1:9" ht="16.5">
      <c r="A64" s="13"/>
      <c r="B64" s="13"/>
      <c r="C64" s="13"/>
      <c r="D64" s="13"/>
      <c r="E64" s="13"/>
      <c r="F64" s="13"/>
      <c r="G64" s="13"/>
      <c r="H64" s="13"/>
      <c r="I64" s="13"/>
    </row>
    <row r="65" spans="1:9" ht="16.5">
      <c r="A65" s="13"/>
      <c r="B65" s="13"/>
      <c r="C65" s="13"/>
      <c r="D65" s="13"/>
      <c r="E65" s="13"/>
      <c r="F65" s="13"/>
      <c r="G65" s="13"/>
      <c r="H65" s="13"/>
      <c r="I65" s="13"/>
    </row>
    <row r="66" spans="1:9" ht="16.5">
      <c r="A66" s="13"/>
      <c r="B66" s="13"/>
      <c r="C66" s="13"/>
      <c r="D66" s="13"/>
      <c r="E66" s="13"/>
      <c r="F66" s="13"/>
      <c r="G66" s="13"/>
      <c r="H66" s="13"/>
      <c r="I66" s="13"/>
    </row>
    <row r="67" spans="1:9" ht="16.5">
      <c r="A67" s="13"/>
      <c r="B67" s="13"/>
      <c r="C67" s="13"/>
      <c r="D67" s="13"/>
      <c r="E67" s="13"/>
      <c r="F67" s="13"/>
      <c r="G67" s="13"/>
      <c r="H67" s="13"/>
      <c r="I67" s="13"/>
    </row>
    <row r="68" spans="1:9" ht="16.5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6.5">
      <c r="A69" s="13"/>
      <c r="B69" s="13"/>
      <c r="C69" s="13"/>
      <c r="D69" s="13"/>
      <c r="E69" s="13"/>
      <c r="F69" s="13"/>
      <c r="G69" s="13"/>
      <c r="H69" s="13"/>
      <c r="I69" s="13"/>
    </row>
    <row r="70" spans="1:9" ht="16.5">
      <c r="A70" s="13"/>
      <c r="B70" s="13"/>
      <c r="C70" s="13"/>
      <c r="D70" s="13"/>
      <c r="E70" s="13"/>
      <c r="F70" s="13"/>
      <c r="G70" s="13"/>
      <c r="H70" s="13"/>
      <c r="I70" s="13"/>
    </row>
    <row r="71" spans="1:9" ht="16.5">
      <c r="A71" s="13"/>
      <c r="B71" s="13"/>
      <c r="C71" s="13"/>
      <c r="D71" s="13"/>
      <c r="E71" s="13"/>
      <c r="F71" s="13"/>
      <c r="G71" s="13"/>
      <c r="H71" s="13"/>
      <c r="I71" s="13"/>
    </row>
    <row r="72" spans="1:9" ht="16.5">
      <c r="A72" s="13"/>
      <c r="B72" s="13"/>
      <c r="C72" s="13"/>
      <c r="D72" s="13"/>
      <c r="E72" s="13"/>
      <c r="F72" s="13"/>
      <c r="G72" s="13"/>
      <c r="H72" s="13"/>
      <c r="I72" s="13"/>
    </row>
    <row r="73" spans="1:9" ht="16.5">
      <c r="A73" s="13"/>
      <c r="B73" s="13"/>
      <c r="C73" s="13"/>
      <c r="D73" s="13"/>
      <c r="E73" s="13"/>
      <c r="F73" s="13"/>
      <c r="G73" s="13"/>
      <c r="H73" s="13"/>
      <c r="I73" s="13"/>
    </row>
    <row r="74" spans="1:9" ht="16.5">
      <c r="A74" s="13"/>
      <c r="B74" s="13"/>
      <c r="C74" s="13"/>
      <c r="D74" s="13"/>
      <c r="E74" s="13"/>
      <c r="F74" s="13"/>
      <c r="G74" s="13"/>
      <c r="H74" s="13"/>
      <c r="I74" s="13"/>
    </row>
    <row r="75" spans="1:9" ht="16.5">
      <c r="A75" s="13"/>
      <c r="B75" s="13"/>
      <c r="C75" s="13"/>
      <c r="D75" s="13"/>
      <c r="E75" s="13"/>
      <c r="F75" s="13"/>
      <c r="G75" s="13"/>
      <c r="H75" s="13"/>
      <c r="I75" s="13"/>
    </row>
    <row r="76" spans="1:9" ht="16.5">
      <c r="A76" s="13"/>
      <c r="B76" s="13"/>
      <c r="C76" s="13"/>
      <c r="D76" s="13"/>
      <c r="E76" s="13"/>
      <c r="F76" s="13"/>
      <c r="G76" s="13"/>
      <c r="H76" s="13"/>
      <c r="I76" s="13"/>
    </row>
    <row r="77" spans="1:9" ht="16.5">
      <c r="A77" s="13"/>
      <c r="B77" s="13"/>
      <c r="C77" s="13"/>
      <c r="D77" s="13"/>
      <c r="E77" s="13"/>
      <c r="F77" s="13"/>
      <c r="G77" s="13"/>
      <c r="H77" s="13"/>
      <c r="I77" s="13"/>
    </row>
    <row r="78" spans="1:9" ht="16.5">
      <c r="A78" s="13"/>
      <c r="B78" s="13"/>
      <c r="C78" s="13"/>
      <c r="D78" s="13"/>
      <c r="E78" s="13"/>
      <c r="F78" s="13"/>
      <c r="G78" s="13"/>
      <c r="H78" s="13"/>
      <c r="I78" s="13"/>
    </row>
    <row r="79" spans="1:9" ht="16.5">
      <c r="A79" s="13"/>
      <c r="B79" s="13"/>
      <c r="C79" s="13"/>
      <c r="D79" s="13"/>
      <c r="E79" s="13"/>
      <c r="F79" s="13"/>
      <c r="G79" s="13"/>
      <c r="H79" s="13"/>
      <c r="I79" s="13"/>
    </row>
    <row r="80" spans="1:9" ht="16.5">
      <c r="A80" s="13"/>
      <c r="B80" s="13"/>
      <c r="C80" s="13"/>
      <c r="D80" s="13"/>
      <c r="E80" s="13"/>
      <c r="F80" s="13"/>
      <c r="G80" s="13"/>
      <c r="H80" s="13"/>
      <c r="I80" s="13"/>
    </row>
    <row r="81" spans="1:9" ht="16.5">
      <c r="A81" s="13"/>
      <c r="B81" s="13"/>
      <c r="C81" s="13"/>
      <c r="D81" s="13"/>
      <c r="E81" s="13"/>
      <c r="F81" s="13"/>
      <c r="G81" s="13"/>
      <c r="H81" s="13"/>
      <c r="I81" s="13"/>
    </row>
    <row r="82" spans="1:9" ht="16.5">
      <c r="A82" s="13"/>
      <c r="B82" s="13"/>
      <c r="C82" s="13"/>
      <c r="D82" s="13"/>
      <c r="E82" s="13"/>
      <c r="F82" s="13"/>
      <c r="G82" s="13"/>
      <c r="H82" s="13"/>
      <c r="I82" s="13"/>
    </row>
    <row r="83" spans="1:9" ht="16.5">
      <c r="A83" s="13"/>
      <c r="B83" s="13"/>
      <c r="C83" s="13"/>
      <c r="D83" s="13"/>
      <c r="E83" s="13"/>
      <c r="F83" s="13"/>
      <c r="G83" s="13"/>
      <c r="H83" s="13"/>
      <c r="I83" s="13"/>
    </row>
    <row r="84" spans="1:9" ht="16.5">
      <c r="A84" s="13"/>
      <c r="B84" s="13"/>
      <c r="C84" s="13"/>
      <c r="D84" s="13"/>
      <c r="E84" s="13"/>
      <c r="F84" s="13"/>
      <c r="G84" s="13"/>
      <c r="H84" s="13"/>
      <c r="I84" s="13"/>
    </row>
    <row r="85" spans="1:9" ht="16.5">
      <c r="A85" s="13"/>
      <c r="B85" s="13"/>
      <c r="C85" s="13"/>
      <c r="D85" s="13"/>
      <c r="E85" s="13"/>
      <c r="F85" s="13"/>
      <c r="G85" s="13"/>
      <c r="H85" s="13"/>
      <c r="I85" s="13"/>
    </row>
    <row r="86" spans="1:9" ht="16.5">
      <c r="A86" s="13"/>
      <c r="B86" s="13"/>
      <c r="C86" s="13"/>
      <c r="D86" s="13"/>
      <c r="E86" s="13"/>
      <c r="F86" s="13"/>
      <c r="G86" s="13"/>
      <c r="H86" s="13"/>
      <c r="I86" s="13"/>
    </row>
    <row r="87" spans="1:9" ht="16.5">
      <c r="A87" s="13"/>
      <c r="B87" s="13"/>
      <c r="C87" s="13"/>
      <c r="D87" s="13"/>
      <c r="E87" s="13"/>
      <c r="F87" s="13"/>
      <c r="G87" s="13"/>
      <c r="H87" s="13"/>
      <c r="I87" s="13"/>
    </row>
    <row r="88" spans="1:9" ht="16.5">
      <c r="A88" s="13"/>
      <c r="B88" s="13"/>
      <c r="C88" s="13"/>
      <c r="D88" s="13"/>
      <c r="E88" s="13"/>
      <c r="F88" s="13"/>
      <c r="G88" s="13"/>
      <c r="H88" s="13"/>
      <c r="I88" s="13"/>
    </row>
    <row r="89" spans="1:9" ht="16.5">
      <c r="A89" s="13"/>
      <c r="B89" s="13"/>
      <c r="C89" s="13"/>
      <c r="D89" s="13"/>
      <c r="E89" s="13"/>
      <c r="F89" s="13"/>
      <c r="G89" s="13"/>
      <c r="H89" s="13"/>
      <c r="I89" s="13"/>
    </row>
    <row r="90" spans="1:9" ht="16.5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16.5">
      <c r="A91" s="13"/>
      <c r="B91" s="13"/>
      <c r="C91" s="13"/>
      <c r="D91" s="13"/>
      <c r="E91" s="13"/>
      <c r="F91" s="13"/>
      <c r="G91" s="13"/>
      <c r="H91" s="13"/>
      <c r="I91" s="13"/>
    </row>
    <row r="92" spans="1:9" ht="16.5">
      <c r="A92" s="13"/>
      <c r="B92" s="13"/>
      <c r="C92" s="13"/>
      <c r="D92" s="13"/>
      <c r="E92" s="13"/>
      <c r="F92" s="13"/>
      <c r="G92" s="13"/>
      <c r="H92" s="13"/>
      <c r="I92" s="13"/>
    </row>
    <row r="93" spans="1:9" ht="16.5">
      <c r="A93" s="13"/>
      <c r="B93" s="13"/>
      <c r="C93" s="13"/>
      <c r="D93" s="13"/>
      <c r="E93" s="13"/>
      <c r="F93" s="13"/>
      <c r="G93" s="13"/>
      <c r="H93" s="13"/>
      <c r="I93" s="13"/>
    </row>
    <row r="94" spans="1:9" ht="16.5">
      <c r="A94" s="13"/>
      <c r="B94" s="13"/>
      <c r="C94" s="13"/>
      <c r="D94" s="13"/>
      <c r="E94" s="13"/>
      <c r="F94" s="13"/>
      <c r="G94" s="13"/>
      <c r="H94" s="13"/>
      <c r="I94" s="13"/>
    </row>
    <row r="95" spans="1:9" ht="16.5">
      <c r="A95" s="13"/>
      <c r="B95" s="13"/>
      <c r="C95" s="13"/>
      <c r="D95" s="13"/>
      <c r="E95" s="13"/>
      <c r="F95" s="13"/>
      <c r="G95" s="13"/>
      <c r="H95" s="13"/>
      <c r="I95" s="13"/>
    </row>
    <row r="96" spans="1:9" ht="16.5">
      <c r="A96" s="13"/>
      <c r="B96" s="13"/>
      <c r="C96" s="13"/>
      <c r="D96" s="13"/>
      <c r="E96" s="13"/>
      <c r="F96" s="13"/>
      <c r="G96" s="13"/>
      <c r="H96" s="13"/>
      <c r="I96" s="13"/>
    </row>
    <row r="97" spans="1:9" ht="16.5">
      <c r="A97" s="13"/>
      <c r="B97" s="13"/>
      <c r="C97" s="13"/>
      <c r="D97" s="13"/>
      <c r="E97" s="13"/>
      <c r="F97" s="13"/>
      <c r="G97" s="13"/>
      <c r="H97" s="13"/>
      <c r="I97" s="13"/>
    </row>
    <row r="98" spans="1:9" ht="16.5">
      <c r="A98" s="13"/>
      <c r="B98" s="13"/>
      <c r="C98" s="13"/>
      <c r="D98" s="13"/>
      <c r="E98" s="13"/>
      <c r="F98" s="13"/>
      <c r="G98" s="13"/>
      <c r="H98" s="13"/>
      <c r="I98" s="13"/>
    </row>
    <row r="99" spans="1:9" ht="16.5">
      <c r="A99" s="13"/>
      <c r="B99" s="13"/>
      <c r="C99" s="13"/>
      <c r="D99" s="13"/>
      <c r="E99" s="13"/>
      <c r="F99" s="13"/>
      <c r="G99" s="13"/>
      <c r="H99" s="13"/>
      <c r="I99" s="13"/>
    </row>
    <row r="100" spans="1:9" ht="16.5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 ht="16.5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 ht="16.5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6.5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6.5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 ht="16.5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 ht="16.5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 ht="16.5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 ht="16.5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 ht="16.5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 ht="16.5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 ht="16.5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 ht="16.5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 ht="16.5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 ht="16.5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 ht="16.5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 ht="16.5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 ht="16.5">
      <c r="A117" s="13"/>
      <c r="B117" s="13"/>
      <c r="C117" s="13"/>
      <c r="D117" s="13"/>
      <c r="E117" s="13"/>
      <c r="F117" s="13"/>
      <c r="G117" s="13"/>
      <c r="H117" s="13"/>
      <c r="I117" s="13"/>
    </row>
  </sheetData>
  <pageMargins left="0.25" right="0.25" top="0.75" bottom="0.75" header="0.3" footer="0.3"/>
  <pageSetup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9282-6164-4F23-8F00-A2369B6B55B2}">
  <sheetPr>
    <tabColor rgb="FF92D050"/>
  </sheetPr>
  <dimension ref="A1:N49"/>
  <sheetViews>
    <sheetView view="pageBreakPreview" zoomScale="70" zoomScaleNormal="80" zoomScaleSheetLayoutView="70" workbookViewId="0">
      <selection activeCell="E4" sqref="E4"/>
    </sheetView>
  </sheetViews>
  <sheetFormatPr defaultRowHeight="15"/>
  <cols>
    <col min="1" max="1" width="21.5703125" customWidth="1"/>
    <col min="2" max="2" width="38.42578125" customWidth="1"/>
    <col min="3" max="3" width="25" customWidth="1"/>
    <col min="4" max="4" width="28.85546875" customWidth="1"/>
    <col min="5" max="5" width="22.42578125" customWidth="1"/>
    <col min="6" max="6" width="22.7109375" customWidth="1"/>
    <col min="7" max="7" width="25" customWidth="1"/>
    <col min="8" max="8" width="26.7109375" customWidth="1"/>
    <col min="9" max="9" width="21.5703125" customWidth="1"/>
    <col min="10" max="10" width="21.28515625" customWidth="1"/>
    <col min="11" max="11" width="4.42578125" customWidth="1"/>
    <col min="12" max="12" width="22.7109375" customWidth="1"/>
    <col min="13" max="13" width="17.28515625" customWidth="1"/>
  </cols>
  <sheetData>
    <row r="1" spans="1:14" ht="26.25">
      <c r="A1" s="25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7.25">
      <c r="A2" s="63" t="s">
        <v>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6.5">
      <c r="A3" s="27" t="s">
        <v>443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6.5">
      <c r="A4" s="13"/>
      <c r="C4" s="13"/>
      <c r="D4" s="13"/>
      <c r="E4" s="488" t="s">
        <v>0</v>
      </c>
      <c r="F4" s="13"/>
      <c r="G4" s="13"/>
      <c r="H4" s="13"/>
      <c r="I4" s="13"/>
      <c r="J4" s="13"/>
      <c r="K4" s="13"/>
      <c r="L4" s="13"/>
      <c r="M4" s="13"/>
      <c r="N4" s="13"/>
    </row>
    <row r="5" spans="1:14" ht="18" thickBot="1">
      <c r="A5" s="6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21" thickBot="1">
      <c r="A6" s="237" t="str">
        <f>+'S&amp;D'!A12</f>
        <v>Natural Gas Utility Distribution</v>
      </c>
      <c r="B6" s="169"/>
      <c r="C6" s="13"/>
      <c r="D6" s="13"/>
      <c r="E6" s="13"/>
      <c r="F6" s="13"/>
      <c r="G6" s="13"/>
      <c r="H6" s="13"/>
    </row>
    <row r="7" spans="1:14" ht="18" thickBot="1">
      <c r="A7" s="63"/>
      <c r="C7" s="30"/>
      <c r="D7" s="30"/>
      <c r="E7" s="30"/>
      <c r="F7" s="30"/>
      <c r="G7" s="30"/>
      <c r="H7" s="13"/>
    </row>
    <row r="8" spans="1:14" ht="26.25">
      <c r="C8" s="13"/>
      <c r="D8" s="13"/>
      <c r="E8" s="32" t="s">
        <v>341</v>
      </c>
      <c r="F8" s="13"/>
      <c r="G8" s="13"/>
      <c r="H8" s="13"/>
    </row>
    <row r="9" spans="1:14" ht="21" thickBot="1">
      <c r="B9" s="31"/>
      <c r="C9" s="30"/>
      <c r="D9" s="30"/>
      <c r="E9" s="37" t="s">
        <v>498</v>
      </c>
      <c r="F9" s="30"/>
      <c r="G9" s="30"/>
      <c r="H9" s="13"/>
    </row>
    <row r="10" spans="1:14" ht="17.25" thickBot="1">
      <c r="B10" s="34" t="s">
        <v>0</v>
      </c>
      <c r="C10" s="34" t="s">
        <v>0</v>
      </c>
      <c r="D10" s="34" t="s">
        <v>0</v>
      </c>
      <c r="E10" s="34" t="s">
        <v>0</v>
      </c>
      <c r="F10" s="34" t="s">
        <v>0</v>
      </c>
      <c r="G10" s="34" t="s">
        <v>0</v>
      </c>
      <c r="H10" s="30"/>
    </row>
    <row r="11" spans="1:14" ht="16.5">
      <c r="B11" s="35" t="s">
        <v>0</v>
      </c>
      <c r="C11" s="35" t="s">
        <v>3</v>
      </c>
      <c r="D11" s="35" t="s">
        <v>0</v>
      </c>
      <c r="E11" s="35" t="s">
        <v>342</v>
      </c>
      <c r="F11" s="35" t="s">
        <v>241</v>
      </c>
      <c r="G11" s="35" t="s">
        <v>343</v>
      </c>
      <c r="H11" s="35" t="s">
        <v>343</v>
      </c>
    </row>
    <row r="12" spans="1:14" ht="17.25" thickBot="1">
      <c r="B12" s="37" t="s">
        <v>2</v>
      </c>
      <c r="C12" s="37" t="s">
        <v>4</v>
      </c>
      <c r="D12" s="37" t="s">
        <v>28</v>
      </c>
      <c r="E12" s="37" t="s">
        <v>177</v>
      </c>
      <c r="F12" s="37" t="s">
        <v>344</v>
      </c>
      <c r="G12" s="37" t="s">
        <v>364</v>
      </c>
      <c r="H12" s="37" t="s">
        <v>29</v>
      </c>
    </row>
    <row r="13" spans="1:14">
      <c r="B13" s="39" t="s">
        <v>0</v>
      </c>
      <c r="C13" s="39" t="s">
        <v>0</v>
      </c>
      <c r="D13" s="40" t="s">
        <v>131</v>
      </c>
      <c r="E13" s="39" t="s">
        <v>132</v>
      </c>
      <c r="F13" s="39" t="s">
        <v>0</v>
      </c>
      <c r="G13" s="39" t="s">
        <v>132</v>
      </c>
      <c r="H13" s="39" t="s">
        <v>0</v>
      </c>
    </row>
    <row r="14" spans="1:14" ht="16.5">
      <c r="B14" s="35"/>
      <c r="C14" s="35"/>
      <c r="D14" s="35"/>
      <c r="E14" s="35"/>
      <c r="F14" s="35"/>
      <c r="G14" s="35"/>
      <c r="H14" s="35"/>
    </row>
    <row r="15" spans="1:14" ht="16.5">
      <c r="B15" s="13"/>
      <c r="C15" s="13"/>
      <c r="D15" s="13"/>
      <c r="E15" s="13"/>
      <c r="F15" s="13"/>
      <c r="G15" s="13"/>
      <c r="H15" s="13"/>
    </row>
    <row r="16" spans="1:14" ht="17.25">
      <c r="B16" s="63" t="str">
        <f>+'S&amp;D'!A22</f>
        <v>Atmos Energy Corp</v>
      </c>
      <c r="C16" s="90" t="str">
        <f>+'S&amp;D'!B22</f>
        <v>ATO</v>
      </c>
      <c r="D16" s="166">
        <f>+'S&amp;D'!G22</f>
        <v>167.63</v>
      </c>
      <c r="E16" s="265">
        <v>29.15</v>
      </c>
      <c r="F16" s="72">
        <f>D16/E16</f>
        <v>5.7506003430531738</v>
      </c>
      <c r="G16" s="265">
        <v>87.7</v>
      </c>
      <c r="H16" s="308">
        <f>D16/G16</f>
        <v>1.9114025085518813</v>
      </c>
    </row>
    <row r="17" spans="2:8" ht="17.25">
      <c r="B17" s="63" t="str">
        <f>+'S&amp;D'!A23</f>
        <v>Black Hills Corporation</v>
      </c>
      <c r="C17" s="90" t="str">
        <f>+'S&amp;D'!B23</f>
        <v>BKH</v>
      </c>
      <c r="D17" s="166">
        <f>+'S&amp;D'!G23</f>
        <v>69.42</v>
      </c>
      <c r="E17" s="265">
        <v>33</v>
      </c>
      <c r="F17" s="308">
        <f>D17/E17</f>
        <v>2.1036363636363635</v>
      </c>
      <c r="G17" s="265">
        <v>52</v>
      </c>
      <c r="H17" s="72">
        <f t="shared" ref="H17:H26" si="0">D17/G17</f>
        <v>1.335</v>
      </c>
    </row>
    <row r="18" spans="2:8" ht="17.25">
      <c r="B18" s="63" t="str">
        <f>+'S&amp;D'!A24</f>
        <v>CenterPoint Energy Inc.</v>
      </c>
      <c r="C18" s="90" t="str">
        <f>+'S&amp;D'!B24</f>
        <v>CNP</v>
      </c>
      <c r="D18" s="166">
        <f>+'S&amp;D'!G24</f>
        <v>38.340000000000003</v>
      </c>
      <c r="E18" s="265">
        <v>15</v>
      </c>
      <c r="F18" s="72">
        <f>D18/E18</f>
        <v>2.556</v>
      </c>
      <c r="G18" s="265">
        <v>18.649999999999999</v>
      </c>
      <c r="H18" s="72">
        <f t="shared" si="0"/>
        <v>2.0557640750670245</v>
      </c>
    </row>
    <row r="19" spans="2:8" ht="17.25">
      <c r="B19" s="63" t="str">
        <f>+'S&amp;D'!A25</f>
        <v>CMS Energy Corporation</v>
      </c>
      <c r="C19" s="90" t="str">
        <f>+'S&amp;D'!B25</f>
        <v>CMS</v>
      </c>
      <c r="D19" s="166">
        <f>+'S&amp;D'!G25</f>
        <v>69.930000000000007</v>
      </c>
      <c r="E19" s="265">
        <v>27.9</v>
      </c>
      <c r="F19" s="72">
        <f>D19/E19</f>
        <v>2.5064516129032262</v>
      </c>
      <c r="G19" s="265">
        <v>30.65</v>
      </c>
      <c r="H19" s="72">
        <f t="shared" si="0"/>
        <v>2.2815660685154979</v>
      </c>
    </row>
    <row r="20" spans="2:8" ht="17.25">
      <c r="B20" s="63" t="str">
        <f>+'S&amp;D'!A26</f>
        <v>New Jersey Resources Corp</v>
      </c>
      <c r="C20" s="90" t="str">
        <f>+'S&amp;D'!B26</f>
        <v>NJR</v>
      </c>
      <c r="D20" s="166">
        <f>+'S&amp;D'!G26</f>
        <v>46.12</v>
      </c>
      <c r="E20" s="265">
        <v>21.55</v>
      </c>
      <c r="F20" s="72">
        <f t="shared" ref="F20:F25" si="1">D20/E20</f>
        <v>2.1401392111368907</v>
      </c>
      <c r="G20" s="265">
        <v>25.15</v>
      </c>
      <c r="H20" s="72">
        <f t="shared" si="0"/>
        <v>1.8337972166998011</v>
      </c>
    </row>
    <row r="21" spans="2:8" ht="17.25">
      <c r="B21" s="63" t="str">
        <f>+'S&amp;D'!A27</f>
        <v>NISOURCE Inc.</v>
      </c>
      <c r="C21" s="90" t="str">
        <f>+'S&amp;D'!B27</f>
        <v>NI</v>
      </c>
      <c r="D21" s="166">
        <f>+'S&amp;D'!G27</f>
        <v>41.76</v>
      </c>
      <c r="E21" s="265">
        <v>12.6</v>
      </c>
      <c r="F21" s="308">
        <f t="shared" si="1"/>
        <v>3.3142857142857141</v>
      </c>
      <c r="G21" s="265">
        <v>25.75</v>
      </c>
      <c r="H21" s="72">
        <f t="shared" si="0"/>
        <v>1.6217475728155339</v>
      </c>
    </row>
    <row r="22" spans="2:8" ht="17.25">
      <c r="B22" s="63" t="str">
        <f>+'S&amp;D'!A28</f>
        <v xml:space="preserve">Northwest Natural Holding Company </v>
      </c>
      <c r="C22" s="90" t="str">
        <f>+'S&amp;D'!B28</f>
        <v>NWN</v>
      </c>
      <c r="D22" s="166">
        <f>+'S&amp;D'!G28</f>
        <v>46.74</v>
      </c>
      <c r="E22" s="265">
        <v>29</v>
      </c>
      <c r="F22" s="72">
        <f t="shared" si="1"/>
        <v>1.6117241379310345</v>
      </c>
      <c r="G22" s="265">
        <v>36.25</v>
      </c>
      <c r="H22" s="72">
        <f t="shared" si="0"/>
        <v>1.2893793103448277</v>
      </c>
    </row>
    <row r="23" spans="2:8" ht="17.25">
      <c r="B23" s="63" t="str">
        <f>+'S&amp;D'!A29</f>
        <v>One Gas INC</v>
      </c>
      <c r="C23" s="90" t="str">
        <f>+'S&amp;D'!B29</f>
        <v>OGS</v>
      </c>
      <c r="D23" s="166">
        <f>+'S&amp;D'!G29</f>
        <v>77.25</v>
      </c>
      <c r="E23" s="265">
        <v>40.799999999999997</v>
      </c>
      <c r="F23" s="72">
        <f t="shared" si="1"/>
        <v>1.8933823529411766</v>
      </c>
      <c r="G23" s="265">
        <v>54.55</v>
      </c>
      <c r="H23" s="72">
        <f t="shared" si="0"/>
        <v>1.4161319890009167</v>
      </c>
    </row>
    <row r="24" spans="2:8" ht="17.25">
      <c r="B24" s="63" t="str">
        <f>+'S&amp;D'!A30</f>
        <v>Southwest Gas Holdings, Inc</v>
      </c>
      <c r="C24" s="90" t="str">
        <f>+'S&amp;D'!B30</f>
        <v>SWX</v>
      </c>
      <c r="D24" s="166">
        <f>+'S&amp;D'!G30</f>
        <v>80.02</v>
      </c>
      <c r="E24" s="265">
        <v>45.15</v>
      </c>
      <c r="F24" s="72">
        <f t="shared" si="1"/>
        <v>1.772314507198228</v>
      </c>
      <c r="G24" s="265">
        <v>55.55</v>
      </c>
      <c r="H24" s="72">
        <f t="shared" si="0"/>
        <v>1.4405040504050406</v>
      </c>
    </row>
    <row r="25" spans="2:8" ht="16.5" customHeight="1">
      <c r="B25" s="63" t="str">
        <f>+'S&amp;D'!A31</f>
        <v>Spire Inc / Laclede Group Inc</v>
      </c>
      <c r="C25" s="90" t="str">
        <f>+'S&amp;D'!B31</f>
        <v>SR</v>
      </c>
      <c r="D25" s="166">
        <f>+'S&amp;D'!G31</f>
        <v>82.7</v>
      </c>
      <c r="E25" s="265">
        <v>43</v>
      </c>
      <c r="F25" s="72">
        <f t="shared" si="1"/>
        <v>1.9232558139534885</v>
      </c>
      <c r="G25" s="265">
        <v>53</v>
      </c>
      <c r="H25" s="308">
        <f t="shared" si="0"/>
        <v>1.560377358490566</v>
      </c>
    </row>
    <row r="26" spans="2:8" ht="17.25">
      <c r="B26" s="63" t="str">
        <f>+'S&amp;D'!A32</f>
        <v>WEC Energy Group</v>
      </c>
      <c r="C26" s="90" t="str">
        <f>+'S&amp;D'!B32</f>
        <v>WEC</v>
      </c>
      <c r="D26" s="166">
        <f>+'S&amp;D'!G32</f>
        <v>105.46</v>
      </c>
      <c r="E26" s="265">
        <v>32.1</v>
      </c>
      <c r="F26" s="308">
        <f>D26/E26</f>
        <v>3.2853582554517131</v>
      </c>
      <c r="G26" s="265">
        <v>42.5</v>
      </c>
      <c r="H26" s="72">
        <f t="shared" si="0"/>
        <v>2.4814117647058822</v>
      </c>
    </row>
    <row r="27" spans="2:8" ht="10.5" customHeight="1" thickBot="1">
      <c r="B27" s="13"/>
      <c r="E27" s="71"/>
      <c r="F27" s="71"/>
      <c r="G27" s="71"/>
      <c r="H27" s="71"/>
    </row>
    <row r="28" spans="2:8" ht="17.25" thickTop="1">
      <c r="B28" s="13"/>
      <c r="D28" s="15" t="s">
        <v>56</v>
      </c>
      <c r="E28" s="17">
        <f>MAX(E16:E26)</f>
        <v>45.15</v>
      </c>
      <c r="F28" s="277">
        <f t="shared" ref="F28:H28" si="2">MAX(F16:F26)</f>
        <v>5.7506003430531738</v>
      </c>
      <c r="G28" s="17">
        <f t="shared" si="2"/>
        <v>87.7</v>
      </c>
      <c r="H28" s="17">
        <f t="shared" si="2"/>
        <v>2.4814117647058822</v>
      </c>
    </row>
    <row r="29" spans="2:8" ht="16.5">
      <c r="B29" s="13"/>
      <c r="D29" s="15" t="s">
        <v>57</v>
      </c>
      <c r="E29" s="270">
        <f>MIN(E16:E26)</f>
        <v>12.6</v>
      </c>
      <c r="F29" s="281">
        <f t="shared" ref="F29:H29" si="3">MIN(F16:F26)</f>
        <v>1.6117241379310345</v>
      </c>
      <c r="G29" s="270">
        <f t="shared" si="3"/>
        <v>18.649999999999999</v>
      </c>
      <c r="H29" s="270">
        <f t="shared" si="3"/>
        <v>1.2893793103448277</v>
      </c>
    </row>
    <row r="30" spans="2:8" ht="16.5">
      <c r="B30" s="13"/>
      <c r="D30" s="15" t="s">
        <v>18</v>
      </c>
      <c r="E30" s="57" t="s">
        <v>0</v>
      </c>
      <c r="F30" s="22">
        <f>MEDIAN(F16:F26)</f>
        <v>2.1401392111368907</v>
      </c>
      <c r="G30" s="57" t="s">
        <v>0</v>
      </c>
      <c r="H30" s="22">
        <f>MEDIAN(H16:H26)</f>
        <v>1.6217475728155339</v>
      </c>
    </row>
    <row r="31" spans="2:8" ht="16.5">
      <c r="B31" s="13"/>
      <c r="D31" s="15" t="s">
        <v>413</v>
      </c>
      <c r="E31" s="73" t="s">
        <v>0</v>
      </c>
      <c r="F31" s="22">
        <f>AVERAGE(F16:F26)</f>
        <v>2.6233771193173645</v>
      </c>
      <c r="G31" s="73" t="s">
        <v>0</v>
      </c>
      <c r="H31" s="22">
        <f>AVERAGE(H16:H26)</f>
        <v>1.7479165376906338</v>
      </c>
    </row>
    <row r="32" spans="2:8" ht="17.25" thickBot="1">
      <c r="B32" s="13"/>
      <c r="C32" s="13"/>
      <c r="D32" s="13"/>
      <c r="E32" s="13"/>
      <c r="F32" s="13"/>
      <c r="G32" s="13"/>
      <c r="H32" s="13"/>
    </row>
    <row r="33" spans="1:8" ht="27" thickBot="1">
      <c r="B33" s="75" t="s">
        <v>0</v>
      </c>
      <c r="C33" s="13"/>
      <c r="D33" s="25" t="s">
        <v>137</v>
      </c>
      <c r="E33" s="25"/>
      <c r="F33" s="323">
        <v>2.6200000000000001E-2</v>
      </c>
      <c r="H33" s="323">
        <v>1.7500000000000002E-2</v>
      </c>
    </row>
    <row r="34" spans="1:8" ht="16.5">
      <c r="B34" s="75" t="s">
        <v>0</v>
      </c>
      <c r="C34" s="13"/>
      <c r="D34" s="13"/>
      <c r="E34" s="13"/>
      <c r="F34" s="13"/>
      <c r="G34" s="13"/>
      <c r="H34" s="13"/>
    </row>
    <row r="35" spans="1:8" ht="16.5">
      <c r="B35" s="75"/>
      <c r="C35" s="13"/>
      <c r="D35" s="13"/>
      <c r="E35" s="13"/>
      <c r="F35" s="13"/>
      <c r="G35" s="13"/>
      <c r="H35" s="13"/>
    </row>
    <row r="36" spans="1:8" ht="17.25">
      <c r="A36" s="111" t="s">
        <v>345</v>
      </c>
      <c r="B36" s="75"/>
      <c r="C36" s="13"/>
      <c r="D36" s="13"/>
      <c r="E36" s="13"/>
      <c r="F36" s="13"/>
      <c r="G36" s="13"/>
      <c r="H36" s="13"/>
    </row>
    <row r="37" spans="1:8" ht="17.25">
      <c r="A37" s="111" t="s">
        <v>346</v>
      </c>
      <c r="B37" s="75"/>
      <c r="C37" s="13"/>
      <c r="D37" s="13"/>
      <c r="E37" s="13"/>
      <c r="F37" s="13"/>
      <c r="G37" s="13"/>
      <c r="H37" s="13"/>
    </row>
    <row r="38" spans="1:8" ht="16.5">
      <c r="H38" s="13"/>
    </row>
    <row r="39" spans="1:8" ht="17.25">
      <c r="A39" s="111" t="s">
        <v>347</v>
      </c>
      <c r="H39" s="13"/>
    </row>
    <row r="40" spans="1:8" ht="17.25">
      <c r="A40" s="111" t="s">
        <v>348</v>
      </c>
    </row>
    <row r="41" spans="1:8" ht="17.25">
      <c r="A41" s="111" t="s">
        <v>349</v>
      </c>
    </row>
    <row r="47" spans="1:8" ht="17.25">
      <c r="A47" s="111"/>
      <c r="C47" s="247" t="s">
        <v>0</v>
      </c>
    </row>
    <row r="48" spans="1:8" ht="17.25">
      <c r="C48" s="247" t="s">
        <v>0</v>
      </c>
    </row>
    <row r="49" spans="3:3" ht="17.25">
      <c r="C49" s="247" t="s">
        <v>0</v>
      </c>
    </row>
  </sheetData>
  <pageMargins left="0.25" right="0.25" top="0.75" bottom="0.75" header="0.3" footer="0.3"/>
  <pageSetup scale="45" orientation="landscape" r:id="rId1"/>
  <rowBreaks count="1" manualBreakCount="1">
    <brk id="42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"/>
  <sheetViews>
    <sheetView topLeftCell="K1" workbookViewId="0">
      <selection activeCell="P1" sqref="P1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FB36B36E7EE46B860E7832FBC9DDB" ma:contentTypeVersion="2" ma:contentTypeDescription="Create a new document." ma:contentTypeScope="" ma:versionID="ec2d75d9a8c4cef51587de69844c551b">
  <xsd:schema xmlns:xsd="http://www.w3.org/2001/XMLSchema" xmlns:xs="http://www.w3.org/2001/XMLSchema" xmlns:p="http://schemas.microsoft.com/office/2006/metadata/properties" xmlns:ns2="f94b9277-b0a3-4d91-bade-04ea91219630" targetNamespace="http://schemas.microsoft.com/office/2006/metadata/properties" ma:root="true" ma:fieldsID="f6cdb8ae0f1f69c1a84b5b8d147db9a2" ns2:_=""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600ABC-9B4C-4E7B-B85D-4773CAB57D7A}"/>
</file>

<file path=customXml/itemProps2.xml><?xml version="1.0" encoding="utf-8"?>
<ds:datastoreItem xmlns:ds="http://schemas.openxmlformats.org/officeDocument/2006/customXml" ds:itemID="{557B1438-98BC-4DA9-B77E-7D047B004E73}"/>
</file>

<file path=customXml/itemProps3.xml><?xml version="1.0" encoding="utf-8"?>
<ds:datastoreItem xmlns:ds="http://schemas.openxmlformats.org/officeDocument/2006/customXml" ds:itemID="{1FEF6944-846E-4437-A591-04F295F9FF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Cover Sheet</vt:lpstr>
      <vt:lpstr>Yield CapRate</vt:lpstr>
      <vt:lpstr>Direct CapRates</vt:lpstr>
      <vt:lpstr>S&amp;D</vt:lpstr>
      <vt:lpstr>Market to Book Ratios</vt:lpstr>
      <vt:lpstr>Maintenance CapEx</vt:lpstr>
      <vt:lpstr>Beta for CAPM</vt:lpstr>
      <vt:lpstr>Dividends </vt:lpstr>
      <vt:lpstr>Earnings</vt:lpstr>
      <vt:lpstr>Debt</vt:lpstr>
      <vt:lpstr>Direct GCF</vt:lpstr>
      <vt:lpstr>Direct NOPAT</vt:lpstr>
      <vt:lpstr>CAPM</vt:lpstr>
      <vt:lpstr>Growth &amp; Inflation Rates</vt:lpstr>
      <vt:lpstr>Indicated Yield Equity Rates</vt:lpstr>
      <vt:lpstr>Single Stage Div Growth Model</vt:lpstr>
      <vt:lpstr>Two-Stage Dividend Growth Model</vt:lpstr>
      <vt:lpstr>Multiples</vt:lpstr>
      <vt:lpstr>Info</vt:lpstr>
      <vt:lpstr>'Beta for CAPM'!Print_Area</vt:lpstr>
      <vt:lpstr>CAPM!Print_Area</vt:lpstr>
      <vt:lpstr>'Cover Sheet'!Print_Area</vt:lpstr>
      <vt:lpstr>Debt!Print_Area</vt:lpstr>
      <vt:lpstr>'Direct CapRates'!Print_Area</vt:lpstr>
      <vt:lpstr>'Direct GCF'!Print_Area</vt:lpstr>
      <vt:lpstr>'Direct NOPAT'!Print_Area</vt:lpstr>
      <vt:lpstr>'Dividends '!Print_Area</vt:lpstr>
      <vt:lpstr>Earnings!Print_Area</vt:lpstr>
      <vt:lpstr>'Growth &amp; Inflation Rates'!Print_Area</vt:lpstr>
      <vt:lpstr>'Indicated Yield Equity Rates'!Print_Area</vt:lpstr>
      <vt:lpstr>'Maintenance CapEx'!Print_Area</vt:lpstr>
      <vt:lpstr>'Market to Book Ratios'!Print_Area</vt:lpstr>
      <vt:lpstr>Multiples!Print_Area</vt:lpstr>
      <vt:lpstr>'S&amp;D'!Print_Area</vt:lpstr>
      <vt:lpstr>'Single Stage Div Growth Model'!Print_Area</vt:lpstr>
      <vt:lpstr>'Two-Stage Dividend Growth Model'!Print_Area</vt:lpstr>
      <vt:lpstr>'Yield CapRate'!Print_Area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Cap Rate Study - Natural Gas Utility Distribution</dc:title>
  <dc:creator>%USERNAME%</dc:creator>
  <cp:lastModifiedBy>Sheeks, David (DOR)</cp:lastModifiedBy>
  <cp:lastPrinted>2026-09-14T14:24:13Z</cp:lastPrinted>
  <dcterms:created xsi:type="dcterms:W3CDTF">2016-02-12T19:29:24Z</dcterms:created>
  <dcterms:modified xsi:type="dcterms:W3CDTF">2026-09-21T14:25:04Z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0x01010019CFB36B36E7EE46B860E7832FBC9DDB</vt:lpwstr>
  </property>
</Properties>
</file>